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08" windowWidth="15120" windowHeight="7716"/>
  </bookViews>
  <sheets>
    <sheet name="Приложение 1" sheetId="12" r:id="rId1"/>
    <sheet name="приложение 2" sheetId="11" r:id="rId2"/>
  </sheets>
  <externalReferences>
    <externalReference r:id="rId3"/>
    <externalReference r:id="rId4"/>
  </externalReferences>
  <calcPr calcId="145621"/>
</workbook>
</file>

<file path=xl/calcChain.xml><?xml version="1.0" encoding="utf-8"?>
<calcChain xmlns="http://schemas.openxmlformats.org/spreadsheetml/2006/main">
  <c r="G178" i="11" l="1"/>
  <c r="G199" i="11" l="1"/>
  <c r="F75" i="12"/>
  <c r="G48" i="12" l="1"/>
  <c r="I50" i="12"/>
  <c r="H53" i="11"/>
  <c r="J49" i="11"/>
  <c r="I49" i="11"/>
  <c r="H49" i="11"/>
  <c r="G26" i="12"/>
  <c r="G36" i="12"/>
  <c r="I36" i="12"/>
  <c r="H36" i="12"/>
  <c r="J28" i="11"/>
  <c r="I28" i="11"/>
  <c r="H28" i="11"/>
  <c r="I26" i="12"/>
  <c r="H26" i="12"/>
  <c r="I42" i="12"/>
  <c r="H42" i="12"/>
  <c r="J129" i="11"/>
  <c r="I129" i="11"/>
  <c r="H129" i="11"/>
  <c r="G25" i="12" l="1"/>
  <c r="G136" i="11"/>
  <c r="G49" i="11"/>
  <c r="G28" i="11"/>
  <c r="G86" i="11"/>
  <c r="G56" i="11"/>
  <c r="G79" i="11"/>
  <c r="G55" i="11" l="1"/>
  <c r="G78" i="11"/>
  <c r="G81" i="11"/>
  <c r="G162" i="11"/>
  <c r="H244" i="11"/>
  <c r="I244" i="11"/>
  <c r="J244" i="11"/>
  <c r="G254" i="11"/>
  <c r="G253" i="11"/>
  <c r="G244" i="11" l="1"/>
  <c r="G118" i="11"/>
  <c r="G181" i="11"/>
  <c r="G198" i="11"/>
  <c r="G129" i="11"/>
  <c r="G124" i="11"/>
  <c r="G122" i="11"/>
  <c r="G170" i="11"/>
  <c r="G157" i="11" s="1"/>
  <c r="G143" i="11"/>
  <c r="G151" i="11"/>
  <c r="G152" i="11"/>
  <c r="G85" i="11"/>
  <c r="G77" i="11"/>
  <c r="G57" i="11"/>
  <c r="G80" i="11"/>
  <c r="G53" i="11"/>
  <c r="G46" i="11"/>
  <c r="G42" i="11"/>
  <c r="G29" i="11" s="1"/>
  <c r="G93" i="11"/>
  <c r="G91" i="11"/>
  <c r="G89" i="11"/>
  <c r="G100" i="11"/>
  <c r="G16" i="11"/>
  <c r="G45" i="11"/>
  <c r="I50" i="11"/>
  <c r="J50" i="11"/>
  <c r="E60" i="11"/>
  <c r="I87" i="11"/>
  <c r="J87" i="11"/>
  <c r="G87" i="11" l="1"/>
  <c r="G174" i="11"/>
  <c r="G121" i="11"/>
  <c r="G50" i="11"/>
  <c r="G138" i="11"/>
  <c r="I47" i="12"/>
  <c r="I48" i="12"/>
  <c r="H46" i="12"/>
  <c r="I46" i="12"/>
  <c r="H47" i="12"/>
  <c r="H49" i="12"/>
  <c r="H53" i="12"/>
  <c r="H48" i="12" s="1"/>
  <c r="I102" i="12"/>
  <c r="H96" i="12"/>
  <c r="I96" i="12"/>
  <c r="I92" i="12"/>
  <c r="I87" i="12"/>
  <c r="I40" i="12"/>
  <c r="I37" i="12"/>
  <c r="I38" i="12" s="1"/>
  <c r="H37" i="12"/>
  <c r="H38" i="12" s="1"/>
  <c r="I32" i="12"/>
  <c r="I33" i="12"/>
  <c r="H33" i="12"/>
  <c r="H32" i="12"/>
  <c r="J229" i="11"/>
  <c r="J227" i="11" s="1"/>
  <c r="J226" i="11"/>
  <c r="J222" i="11"/>
  <c r="J212" i="11"/>
  <c r="J207" i="11"/>
  <c r="J204" i="11"/>
  <c r="J202" i="11" s="1"/>
  <c r="J144" i="11"/>
  <c r="J138" i="11" s="1"/>
  <c r="I144" i="11"/>
  <c r="I138" i="11" s="1"/>
  <c r="J121" i="11"/>
  <c r="I121" i="11"/>
  <c r="J47" i="11"/>
  <c r="J41" i="11"/>
  <c r="J29" i="11" s="1"/>
  <c r="J42" i="11"/>
  <c r="I42" i="11"/>
  <c r="I29" i="11" s="1"/>
  <c r="H42" i="11"/>
  <c r="H29" i="11" s="1"/>
  <c r="G96" i="12"/>
  <c r="G47" i="12"/>
  <c r="G37" i="12"/>
  <c r="G38" i="12" s="1"/>
  <c r="G16" i="12"/>
  <c r="I174" i="11"/>
  <c r="J174" i="11"/>
  <c r="H174" i="11"/>
  <c r="H144" i="11"/>
  <c r="H138" i="11" s="1"/>
  <c r="H50" i="11"/>
  <c r="H45" i="11"/>
  <c r="H46" i="11"/>
  <c r="G32" i="12" s="1"/>
  <c r="H27" i="11"/>
  <c r="H118" i="11"/>
  <c r="H87" i="11" s="1"/>
  <c r="G17" i="12" l="1"/>
  <c r="I47" i="11"/>
  <c r="F48" i="12"/>
  <c r="F47" i="12"/>
  <c r="F46" i="12"/>
  <c r="G18" i="12" l="1"/>
  <c r="F246" i="11" l="1"/>
  <c r="F254" i="11"/>
  <c r="F253" i="11"/>
  <c r="F181" i="11"/>
  <c r="F152" i="11"/>
  <c r="F244" i="11" l="1"/>
  <c r="H102" i="12"/>
  <c r="H92" i="12"/>
  <c r="H87" i="12"/>
  <c r="I16" i="11"/>
  <c r="J16" i="11"/>
  <c r="I267" i="11"/>
  <c r="I229" i="11"/>
  <c r="I227" i="11" s="1"/>
  <c r="H229" i="11"/>
  <c r="H227" i="11" s="1"/>
  <c r="I226" i="11"/>
  <c r="H226" i="11"/>
  <c r="I222" i="11"/>
  <c r="H222" i="11"/>
  <c r="I212" i="11"/>
  <c r="H212" i="11"/>
  <c r="I207" i="11"/>
  <c r="H207" i="11"/>
  <c r="I204" i="11"/>
  <c r="I202" i="11" s="1"/>
  <c r="H204" i="11"/>
  <c r="H202" i="11" s="1"/>
  <c r="H157" i="11"/>
  <c r="I157" i="11"/>
  <c r="J157" i="11"/>
  <c r="H121" i="11"/>
  <c r="H16" i="11"/>
  <c r="H22" i="12" l="1"/>
  <c r="I22" i="12"/>
  <c r="F102" i="12" l="1"/>
  <c r="F92" i="12"/>
  <c r="F87" i="12"/>
  <c r="F258" i="11" l="1"/>
  <c r="F185" i="11"/>
  <c r="F196" i="11"/>
  <c r="F198" i="11"/>
  <c r="F182" i="11"/>
  <c r="F189" i="11"/>
  <c r="F126" i="11"/>
  <c r="F123" i="11"/>
  <c r="F129" i="11"/>
  <c r="F122" i="11"/>
  <c r="F125" i="11"/>
  <c r="F124" i="11"/>
  <c r="F130" i="11"/>
  <c r="E129" i="11"/>
  <c r="F170" i="11"/>
  <c r="F162" i="11"/>
  <c r="F144" i="11"/>
  <c r="F136" i="11"/>
  <c r="F146" i="11"/>
  <c r="F143" i="11"/>
  <c r="F60" i="11"/>
  <c r="F54" i="11"/>
  <c r="F86" i="11"/>
  <c r="F49" i="11"/>
  <c r="F56" i="11"/>
  <c r="F55" i="11"/>
  <c r="F84" i="11"/>
  <c r="F75" i="11"/>
  <c r="F70" i="11"/>
  <c r="F74" i="11"/>
  <c r="F64" i="11"/>
  <c r="F45" i="11"/>
  <c r="F53" i="11"/>
  <c r="F38" i="11"/>
  <c r="F42" i="11"/>
  <c r="F41" i="11"/>
  <c r="F50" i="11" l="1"/>
  <c r="F157" i="11"/>
  <c r="F112" i="11"/>
  <c r="F116" i="11"/>
  <c r="F118" i="11"/>
  <c r="F100" i="11"/>
  <c r="F111" i="11"/>
  <c r="F96" i="11"/>
  <c r="F95" i="11"/>
  <c r="F97" i="11"/>
  <c r="F108" i="11"/>
  <c r="F94" i="11"/>
  <c r="F93" i="11"/>
  <c r="F24" i="11"/>
  <c r="E47" i="12"/>
  <c r="E48" i="12"/>
  <c r="E49" i="12"/>
  <c r="F87" i="11" l="1"/>
  <c r="E25" i="12"/>
  <c r="E19" i="12" l="1"/>
  <c r="E16" i="12"/>
  <c r="F183" i="11" l="1"/>
  <c r="F174" i="11" s="1"/>
  <c r="F128" i="11"/>
  <c r="F121" i="11" s="1"/>
  <c r="F43" i="11" l="1"/>
  <c r="D105" i="12"/>
  <c r="D100" i="12"/>
  <c r="D95" i="12"/>
  <c r="D90" i="12"/>
  <c r="D85" i="12"/>
  <c r="D80" i="12"/>
  <c r="D78" i="12"/>
  <c r="D73" i="12"/>
  <c r="D69" i="12"/>
  <c r="D67" i="12"/>
  <c r="D66" i="12"/>
  <c r="D60" i="12"/>
  <c r="D59" i="12"/>
  <c r="D58" i="12"/>
  <c r="D57" i="12"/>
  <c r="D56" i="12"/>
  <c r="D53" i="12"/>
  <c r="D52" i="12"/>
  <c r="D49" i="12"/>
  <c r="D46" i="12"/>
  <c r="D40" i="12"/>
  <c r="D38" i="12"/>
  <c r="D37" i="12"/>
  <c r="D30" i="12"/>
  <c r="D25" i="12"/>
  <c r="D18" i="12"/>
  <c r="D16" i="12"/>
  <c r="E105" i="12"/>
  <c r="E100" i="12"/>
  <c r="E95" i="12"/>
  <c r="E90" i="12"/>
  <c r="E85" i="12"/>
  <c r="E80" i="12"/>
  <c r="E78" i="12"/>
  <c r="E75" i="12" s="1"/>
  <c r="E70" i="12"/>
  <c r="E69" i="12"/>
  <c r="E67" i="12"/>
  <c r="E66" i="12"/>
  <c r="E60" i="12"/>
  <c r="E59" i="12"/>
  <c r="E14" i="12" s="1"/>
  <c r="E56" i="12"/>
  <c r="E50" i="12"/>
  <c r="E46" i="12"/>
  <c r="E18" i="12"/>
  <c r="E17" i="12"/>
  <c r="E35" i="12"/>
  <c r="E30" i="12"/>
  <c r="E20" i="12"/>
  <c r="D48" i="12" l="1"/>
  <c r="E45" i="12"/>
  <c r="D55" i="12"/>
  <c r="E40" i="12"/>
  <c r="D35" i="12"/>
  <c r="D47" i="12"/>
  <c r="E68" i="12"/>
  <c r="E65" i="12" s="1"/>
  <c r="D50" i="12"/>
  <c r="D68" i="12"/>
  <c r="D70" i="12"/>
  <c r="D75" i="12"/>
  <c r="E58" i="12"/>
  <c r="D11" i="12"/>
  <c r="D17" i="12"/>
  <c r="E11" i="12"/>
  <c r="E12" i="12"/>
  <c r="E13" i="12" l="1"/>
  <c r="E10" i="12" s="1"/>
  <c r="D45" i="12"/>
  <c r="E55" i="12"/>
  <c r="D20" i="12"/>
  <c r="D19" i="12"/>
  <c r="D13" i="12"/>
  <c r="D12" i="12"/>
  <c r="D65" i="12"/>
  <c r="E15" i="12"/>
  <c r="D14" i="12" l="1"/>
  <c r="D15" i="12"/>
  <c r="E181" i="11"/>
  <c r="E198" i="11"/>
  <c r="D10" i="12" l="1"/>
  <c r="E184" i="11"/>
  <c r="G229" i="11" l="1"/>
  <c r="G227" i="11" s="1"/>
  <c r="G226" i="11"/>
  <c r="G222" i="11"/>
  <c r="G212" i="11"/>
  <c r="G207" i="11"/>
  <c r="G204" i="11"/>
  <c r="G202" i="11" s="1"/>
  <c r="F141" i="11" l="1"/>
  <c r="F138" i="11" s="1"/>
  <c r="F267" i="11" l="1"/>
  <c r="F243" i="11"/>
  <c r="F201" i="11"/>
  <c r="F119" i="11" l="1"/>
  <c r="G119" i="11" l="1"/>
  <c r="H119" i="11"/>
  <c r="I119" i="11"/>
  <c r="J119" i="11"/>
  <c r="E128" i="11"/>
  <c r="E118" i="11"/>
  <c r="E108" i="11"/>
  <c r="E267" i="11"/>
  <c r="E136" i="11"/>
  <c r="E254" i="11"/>
  <c r="E252" i="11"/>
  <c r="E251" i="11"/>
  <c r="E182" i="11"/>
  <c r="E174" i="11" s="1"/>
  <c r="E157" i="11"/>
  <c r="E146" i="11"/>
  <c r="E152" i="11"/>
  <c r="E144" i="11"/>
  <c r="E143" i="11"/>
  <c r="E74" i="11"/>
  <c r="E86" i="11"/>
  <c r="E124" i="11"/>
  <c r="E54" i="11"/>
  <c r="E49" i="11"/>
  <c r="E97" i="11"/>
  <c r="E94" i="11"/>
  <c r="E127" i="11"/>
  <c r="E123" i="11"/>
  <c r="E93" i="11"/>
  <c r="E53" i="11"/>
  <c r="E45" i="11"/>
  <c r="E41" i="11"/>
  <c r="E38" i="11"/>
  <c r="E42" i="11"/>
  <c r="E37" i="11"/>
  <c r="E26" i="11"/>
  <c r="E24" i="11"/>
  <c r="E23" i="11"/>
  <c r="E20" i="11"/>
  <c r="E18" i="11"/>
  <c r="E50" i="11" l="1"/>
  <c r="E244" i="11"/>
  <c r="E138" i="11"/>
  <c r="E121" i="11"/>
  <c r="E119" i="11" s="1"/>
  <c r="E87" i="11"/>
  <c r="E29" i="11"/>
  <c r="F70" i="12" l="1"/>
  <c r="G70" i="12"/>
  <c r="H66" i="12" l="1"/>
  <c r="I66" i="12"/>
  <c r="H67" i="12"/>
  <c r="I67" i="12"/>
  <c r="G68" i="12"/>
  <c r="H68" i="12"/>
  <c r="I68" i="12"/>
  <c r="F69" i="12"/>
  <c r="G69" i="12"/>
  <c r="H69" i="12"/>
  <c r="I69" i="12"/>
  <c r="H47" i="11"/>
  <c r="F36" i="11"/>
  <c r="F29" i="11" s="1"/>
  <c r="G80" i="12"/>
  <c r="I80" i="12"/>
  <c r="F49" i="12"/>
  <c r="G49" i="12"/>
  <c r="F264" i="11" l="1"/>
  <c r="E264" i="11"/>
  <c r="F261" i="11"/>
  <c r="E261" i="11"/>
  <c r="E258" i="11"/>
  <c r="F255" i="11"/>
  <c r="E255" i="11"/>
  <c r="F229" i="11"/>
  <c r="E229" i="11"/>
  <c r="E227" i="11" s="1"/>
  <c r="F227" i="11"/>
  <c r="F226" i="11"/>
  <c r="E226" i="11"/>
  <c r="F222" i="11"/>
  <c r="E222" i="11"/>
  <c r="F212" i="11"/>
  <c r="E212" i="11"/>
  <c r="F207" i="11"/>
  <c r="E207" i="11"/>
  <c r="F204" i="11"/>
  <c r="F202" i="11" s="1"/>
  <c r="E204" i="11"/>
  <c r="E202" i="11" s="1"/>
  <c r="F199" i="11"/>
  <c r="E199" i="11"/>
  <c r="F156" i="11"/>
  <c r="F153" i="11" s="1"/>
  <c r="E156" i="11"/>
  <c r="E153" i="11" s="1"/>
  <c r="E131" i="11"/>
  <c r="E47" i="11"/>
  <c r="E43" i="11"/>
  <c r="E27" i="11"/>
  <c r="F22" i="11"/>
  <c r="F16" i="11" s="1"/>
  <c r="E16" i="11"/>
  <c r="F171" i="11" l="1"/>
  <c r="E171" i="11"/>
  <c r="F131" i="11"/>
  <c r="F47" i="11"/>
  <c r="F27" i="11"/>
  <c r="E15" i="11"/>
  <c r="E13" i="11" s="1"/>
  <c r="F15" i="11" l="1"/>
  <c r="E12" i="11"/>
  <c r="E10" i="11" s="1"/>
  <c r="G58" i="12"/>
  <c r="H58" i="12"/>
  <c r="I58" i="12"/>
  <c r="F13" i="11" l="1"/>
  <c r="H267" i="11"/>
  <c r="F12" i="11" l="1"/>
  <c r="F10" i="11" s="1"/>
  <c r="F50" i="12"/>
  <c r="H75" i="12"/>
  <c r="I75" i="12"/>
  <c r="H40" i="12"/>
  <c r="H35" i="12"/>
  <c r="I35" i="12"/>
  <c r="H30" i="12"/>
  <c r="I30" i="12"/>
  <c r="H16" i="12"/>
  <c r="I16" i="12"/>
  <c r="H18" i="12"/>
  <c r="I18" i="12"/>
  <c r="H19" i="12"/>
  <c r="I19" i="12"/>
  <c r="G19" i="12"/>
  <c r="G66" i="12"/>
  <c r="F19" i="12"/>
  <c r="H131" i="11"/>
  <c r="I131" i="11"/>
  <c r="J131" i="11"/>
  <c r="H261" i="11"/>
  <c r="G67" i="12" l="1"/>
  <c r="G13" i="12" l="1"/>
  <c r="F80" i="12"/>
  <c r="G27" i="11"/>
  <c r="F22" i="12" l="1"/>
  <c r="F18" i="12"/>
  <c r="H156" i="11"/>
  <c r="H153" i="11" s="1"/>
  <c r="F17" i="12" l="1"/>
  <c r="I105" i="12"/>
  <c r="H105" i="12"/>
  <c r="G105" i="12"/>
  <c r="F105" i="12"/>
  <c r="F100" i="12"/>
  <c r="I100" i="12"/>
  <c r="H100" i="12"/>
  <c r="G100" i="12"/>
  <c r="I95" i="12"/>
  <c r="H95" i="12"/>
  <c r="G95" i="12"/>
  <c r="I90" i="12"/>
  <c r="H90" i="12"/>
  <c r="G90" i="12"/>
  <c r="I85" i="12"/>
  <c r="H85" i="12"/>
  <c r="G85" i="12"/>
  <c r="G75" i="12"/>
  <c r="I70" i="12"/>
  <c r="H70" i="12"/>
  <c r="I60" i="12"/>
  <c r="H60" i="12"/>
  <c r="G60" i="12"/>
  <c r="F60" i="12"/>
  <c r="I59" i="12"/>
  <c r="H59" i="12"/>
  <c r="G59" i="12"/>
  <c r="G14" i="12" s="1"/>
  <c r="F59" i="12"/>
  <c r="F58" i="12"/>
  <c r="I57" i="12"/>
  <c r="H57" i="12"/>
  <c r="G57" i="12"/>
  <c r="F57" i="12"/>
  <c r="I56" i="12"/>
  <c r="H56" i="12"/>
  <c r="G56" i="12"/>
  <c r="F56" i="12"/>
  <c r="H50" i="12"/>
  <c r="G50" i="12"/>
  <c r="I49" i="12"/>
  <c r="G46" i="12"/>
  <c r="G40" i="12"/>
  <c r="F40" i="12"/>
  <c r="F35" i="12"/>
  <c r="G35" i="12"/>
  <c r="G30" i="12"/>
  <c r="F30" i="12"/>
  <c r="F25" i="12"/>
  <c r="I20" i="12"/>
  <c r="H20" i="12"/>
  <c r="G20" i="12"/>
  <c r="F20" i="12"/>
  <c r="G15" i="12"/>
  <c r="F16" i="12"/>
  <c r="H55" i="12" l="1"/>
  <c r="F67" i="12"/>
  <c r="F55" i="12"/>
  <c r="F90" i="12"/>
  <c r="F95" i="12"/>
  <c r="F15" i="12"/>
  <c r="G55" i="12"/>
  <c r="F85" i="12"/>
  <c r="I13" i="12"/>
  <c r="I55" i="12"/>
  <c r="H65" i="12"/>
  <c r="G11" i="12"/>
  <c r="F14" i="12"/>
  <c r="H14" i="12"/>
  <c r="G12" i="12"/>
  <c r="H13" i="12"/>
  <c r="I14" i="12"/>
  <c r="I65" i="12"/>
  <c r="H45" i="12"/>
  <c r="H11" i="12"/>
  <c r="I45" i="12"/>
  <c r="I11" i="12"/>
  <c r="F45" i="12"/>
  <c r="G45" i="12"/>
  <c r="F11" i="12" l="1"/>
  <c r="F12" i="12"/>
  <c r="J267" i="11" l="1"/>
  <c r="G267" i="11"/>
  <c r="J264" i="11"/>
  <c r="I264" i="11"/>
  <c r="H264" i="11"/>
  <c r="G264" i="11"/>
  <c r="J261" i="11"/>
  <c r="I261" i="11"/>
  <c r="G261" i="11"/>
  <c r="J258" i="11"/>
  <c r="I258" i="11"/>
  <c r="H258" i="11"/>
  <c r="G258" i="11"/>
  <c r="J255" i="11"/>
  <c r="I255" i="11"/>
  <c r="H255" i="11"/>
  <c r="G255" i="11"/>
  <c r="J199" i="11"/>
  <c r="I199" i="11"/>
  <c r="H199" i="11"/>
  <c r="J156" i="11"/>
  <c r="J153" i="11" s="1"/>
  <c r="I156" i="11"/>
  <c r="I153" i="11" s="1"/>
  <c r="G156" i="11"/>
  <c r="G153" i="11" s="1"/>
  <c r="G131" i="11"/>
  <c r="J43" i="11"/>
  <c r="I43" i="11"/>
  <c r="H43" i="11"/>
  <c r="G43" i="11"/>
  <c r="I27" i="11"/>
  <c r="J27" i="11"/>
  <c r="I25" i="12" l="1"/>
  <c r="J15" i="11"/>
  <c r="J13" i="11" s="1"/>
  <c r="I15" i="11"/>
  <c r="G171" i="11"/>
  <c r="I171" i="11"/>
  <c r="H171" i="11"/>
  <c r="J171" i="11"/>
  <c r="H25" i="12" l="1"/>
  <c r="H17" i="12"/>
  <c r="I17" i="12"/>
  <c r="I13" i="11"/>
  <c r="I12" i="11" s="1"/>
  <c r="I10" i="11" s="1"/>
  <c r="J12" i="11"/>
  <c r="J10" i="11" s="1"/>
  <c r="F68" i="12"/>
  <c r="I15" i="12" l="1"/>
  <c r="I12" i="12"/>
  <c r="I10" i="12" s="1"/>
  <c r="H12" i="12"/>
  <c r="H15" i="12"/>
  <c r="F65" i="12"/>
  <c r="F13" i="12"/>
  <c r="G65" i="12"/>
  <c r="H10" i="12" l="1"/>
  <c r="F10" i="12"/>
  <c r="G10" i="12"/>
  <c r="H15" i="11"/>
  <c r="H13" i="11" l="1"/>
  <c r="H12" i="11" s="1"/>
  <c r="H10" i="11" s="1"/>
  <c r="G47" i="11"/>
  <c r="G15" i="11" l="1"/>
  <c r="G13" i="11" l="1"/>
  <c r="G12" i="11" s="1"/>
  <c r="G10" i="11" l="1"/>
</calcChain>
</file>

<file path=xl/sharedStrings.xml><?xml version="1.0" encoding="utf-8"?>
<sst xmlns="http://schemas.openxmlformats.org/spreadsheetml/2006/main" count="487" uniqueCount="244">
  <si>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</si>
  <si>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</si>
  <si>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</si>
  <si>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</si>
  <si>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>МУНИЦИПАЛЬНАЯ ПРОГРАММА</t>
  </si>
  <si>
    <t>всего</t>
  </si>
  <si>
    <t>в том числе по ГРБС:</t>
  </si>
  <si>
    <t>Администрация Нижнедевицкого муниципального района</t>
  </si>
  <si>
    <t>ПОДПРОГРАММА 1</t>
  </si>
  <si>
    <t xml:space="preserve">Основное мероприятие 1.1 </t>
  </si>
  <si>
    <t>ПОДПРОГРАММА 2</t>
  </si>
  <si>
    <t>в том числе по статьям расходов:</t>
  </si>
  <si>
    <t>ПРОЧИЕ  расходы</t>
  </si>
  <si>
    <t>Вовлечение молодежи в социальну практику</t>
  </si>
  <si>
    <t>ПОДПРОГРАММА 3</t>
  </si>
  <si>
    <t>Код бюджетной классификации 
(областной
бюджет)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</si>
  <si>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</si>
  <si>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Основное мероприятие 1.4</t>
  </si>
  <si>
    <t>Основное мероприятие 1.5</t>
  </si>
  <si>
    <t>Мероприятия по организации отдыха и оздоровления детей и молодежи</t>
  </si>
  <si>
    <t>924 0709 0148070111211</t>
  </si>
  <si>
    <t xml:space="preserve">Основное мероприятие 2.1 </t>
  </si>
  <si>
    <t>Основное мероприятие 4.1</t>
  </si>
  <si>
    <t>Основное мероприятие 4. 2</t>
  </si>
  <si>
    <t>924 0709 0148070111213</t>
  </si>
  <si>
    <t>Основное мероприятие 3.1</t>
  </si>
  <si>
    <t>Основное мероприятие 4. 3</t>
  </si>
  <si>
    <t>Основное мероприятие 4. 4</t>
  </si>
  <si>
    <t>Основное мероприятие 4. 5</t>
  </si>
  <si>
    <t>Основное мероприятие 4. 6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</si>
  <si>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</si>
  <si>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4. 9</t>
  </si>
  <si>
    <t>924 0701 011 7815 244262</t>
  </si>
  <si>
    <t xml:space="preserve">Развите дошкольного  и общего образования </t>
  </si>
  <si>
    <t xml:space="preserve">Развите дополнительного образования </t>
  </si>
  <si>
    <t xml:space="preserve">ПОДПРОГРАММА 4
</t>
  </si>
  <si>
    <t xml:space="preserve">"Обеспечение реализации    муниципальной  программы" </t>
  </si>
  <si>
    <t xml:space="preserve">Расходы  на обеспечение деятельности  муниципального учреждения </t>
  </si>
  <si>
    <t xml:space="preserve">Молодежь </t>
  </si>
  <si>
    <t>Основное мероприятие 4.10</t>
  </si>
  <si>
    <t>всего, в том числе:</t>
  </si>
  <si>
    <t xml:space="preserve">федеральный бюджет </t>
  </si>
  <si>
    <t>областной бюджет</t>
  </si>
  <si>
    <t>местный бюджет</t>
  </si>
  <si>
    <t>внебюджетне средства</t>
  </si>
  <si>
    <t>внебюджетные средства</t>
  </si>
  <si>
    <t xml:space="preserve">Основное мероприятие 1.2 </t>
  </si>
  <si>
    <t>Основное мероприятие 1.3</t>
  </si>
  <si>
    <t xml:space="preserve">Руководитель отдела по образованию, спорту и работе с молодежью </t>
  </si>
  <si>
    <t>Приложение № 1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</si>
  <si>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>Приложение № 2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</si>
  <si>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 xml:space="preserve"> к постановлению администрации Нижнедевицкого муниципального района</t>
  </si>
  <si>
    <t>к постановлению администрации Нижнедевицкого муниципального района</t>
  </si>
  <si>
    <t>Основное мероприятие 1.2</t>
  </si>
  <si>
    <t>О.И.Шмойлова</t>
  </si>
  <si>
    <t>924 0702  01102 781 20 111211</t>
  </si>
  <si>
    <t>924 0702 01102 781 20 119 213</t>
  </si>
  <si>
    <t>924 0702 01102 781 20  242 221</t>
  </si>
  <si>
    <t>92410040140452600313262</t>
  </si>
  <si>
    <t>92410040140678150313262</t>
  </si>
  <si>
    <t xml:space="preserve">Развитие дошкольного  и общего образования </t>
  </si>
  <si>
    <t xml:space="preserve">Развитие дополнительного образования </t>
  </si>
  <si>
    <t>2018
(первый год реализации)</t>
  </si>
  <si>
    <t>2019
(второй год реализации)</t>
  </si>
  <si>
    <t xml:space="preserve">2020
(третий год реализации) </t>
  </si>
  <si>
    <t xml:space="preserve">2021
(четвертый год реализации) </t>
  </si>
  <si>
    <t xml:space="preserve">2022
(пятый год реализации) </t>
  </si>
  <si>
    <t xml:space="preserve">2023
(шестой год реализации) </t>
  </si>
  <si>
    <t>924 0701 0110178290 111 211</t>
  </si>
  <si>
    <t>924 0701 0110178290 119 213</t>
  </si>
  <si>
    <t>924 0701 0110178290 242 221</t>
  </si>
  <si>
    <t>924 0701 0110178290 244 225</t>
  </si>
  <si>
    <t>924 0701 0110178290 244 226</t>
  </si>
  <si>
    <t>924 0701 0110178290 244 310</t>
  </si>
  <si>
    <t>924 0701 0110178290 244 340</t>
  </si>
  <si>
    <t>924 07 02 01103S8130 244 340</t>
  </si>
  <si>
    <t>924 0702 01102 781 20  244 222</t>
  </si>
  <si>
    <t>924 0702 01102 781 20  244 225</t>
  </si>
  <si>
    <t>924 0702 01102 781 20  244 310</t>
  </si>
  <si>
    <t>924 0702 01102 781 20  244 340</t>
  </si>
  <si>
    <t>924 0702 01102 00590 600241</t>
  </si>
  <si>
    <t>924 0702 01102 00590 242 221</t>
  </si>
  <si>
    <t>924 0702 01102 00590 244 223</t>
  </si>
  <si>
    <t>924 0702 01102 00590 244 225</t>
  </si>
  <si>
    <t>924 0702 01102S1630 244 226</t>
  </si>
  <si>
    <t>924 0702 01102 00590 244 226</t>
  </si>
  <si>
    <t>924 0702 01102 00590 851 290</t>
  </si>
  <si>
    <t>924 0702 0110 00590  244 340</t>
  </si>
  <si>
    <t>924 0701 01101 00590 111 211</t>
  </si>
  <si>
    <t>924 0707 0130188310  244 290</t>
  </si>
  <si>
    <t>924 0707 0130188310  244 340</t>
  </si>
  <si>
    <t>924 0709 0140280200 111 211</t>
  </si>
  <si>
    <t>924 0709 0140280200 119 213</t>
  </si>
  <si>
    <t>924 0709 0140280200  242 221</t>
  </si>
  <si>
    <t>925 0709 0140280200  244 223</t>
  </si>
  <si>
    <t>925 0709 0140280200  244 225</t>
  </si>
  <si>
    <t>925 0709 0140280200  244 226</t>
  </si>
  <si>
    <t>925 0709 0140280200  244 340</t>
  </si>
  <si>
    <t>924 0709 0140182010 121  211</t>
  </si>
  <si>
    <t>924 0709 0140182010 129  213</t>
  </si>
  <si>
    <t xml:space="preserve"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муниципальной программы Нижнедевицкого муниципального района на 2018-2023гг "Развития образования "                                                                         </t>
  </si>
  <si>
    <t>924 0702 01102 781 20  852 291</t>
  </si>
  <si>
    <t>924 0702 01102 00590 851 291</t>
  </si>
  <si>
    <t>924 0702 01102 00590 244 310</t>
  </si>
  <si>
    <t>924 0702 01102 00590 340 296</t>
  </si>
  <si>
    <t>924 0702 01102 00590 853 292</t>
  </si>
  <si>
    <t>924 0702 01102 00590 853 290</t>
  </si>
  <si>
    <t>924 0702 01102 00590 244 290</t>
  </si>
  <si>
    <t>924 0702 01102 00590 853 295</t>
  </si>
  <si>
    <t>924 07 07 011 05S8320 244 225</t>
  </si>
  <si>
    <t>924 07 07 011 05S8320 244 226</t>
  </si>
  <si>
    <t>924 07 07 011 05S8410 244 226</t>
  </si>
  <si>
    <t>924 07 07 011 05S8320 244 310</t>
  </si>
  <si>
    <t>924 07 07 011 05S8320 244 340</t>
  </si>
  <si>
    <t>924 0702 01102S1630 244 340</t>
  </si>
  <si>
    <t>924 0707 0130188310  244 296</t>
  </si>
  <si>
    <t>924 0707 0130188310  244 226</t>
  </si>
  <si>
    <t>924 0707 0130188310  853 290</t>
  </si>
  <si>
    <t>924 0707 0130188310  853  296</t>
  </si>
  <si>
    <t>924 0707 0130188310  852  291</t>
  </si>
  <si>
    <t>925 0709 0140280200  852 291</t>
  </si>
  <si>
    <t>925 0709 0140280200  853 291</t>
  </si>
  <si>
    <t>925 0709 0140280200  852 290</t>
  </si>
  <si>
    <t>925 0709 0140280200  853 292</t>
  </si>
  <si>
    <t>925 0709 0140280200  244 290</t>
  </si>
  <si>
    <t>925 0709 0140270100  244 225</t>
  </si>
  <si>
    <t>924 0702 01102 00590 244 227</t>
  </si>
  <si>
    <t>925 0709 0140280200  244 227</t>
  </si>
  <si>
    <t>925 0709 0140280200  242 352</t>
  </si>
  <si>
    <t>924 0701 0110178290 111 266</t>
  </si>
  <si>
    <t>924 0701 01101 00590 111 266</t>
  </si>
  <si>
    <t>924 0701 01101 00590 119 213</t>
  </si>
  <si>
    <t>924 0701 01101 00590 242 221</t>
  </si>
  <si>
    <t>924 0701 01101 00590 244 223</t>
  </si>
  <si>
    <t>924 0701 01101 00590 244 225</t>
  </si>
  <si>
    <t>924 0701 01101 00590 244 226</t>
  </si>
  <si>
    <t>924 0701 01101 00590 853 295</t>
  </si>
  <si>
    <t>924 0701 01101 00590 851 291</t>
  </si>
  <si>
    <t>924  0701 01101 00590 244 310</t>
  </si>
  <si>
    <t>924 0701 01101 S8750243225</t>
  </si>
  <si>
    <t>924 0701 01101 S8750243 310</t>
  </si>
  <si>
    <t>924 0701 01101 20540244 310</t>
  </si>
  <si>
    <t>924 0701 01101 88270244310</t>
  </si>
  <si>
    <t>924 0701 01101 S8300244225</t>
  </si>
  <si>
    <t>924 0701 01101 S8300244226</t>
  </si>
  <si>
    <t>924 0702  01102 781 20 111266</t>
  </si>
  <si>
    <t>924 0702 01102 00590 242 222</t>
  </si>
  <si>
    <t>924 0702 01102 20540244310</t>
  </si>
  <si>
    <t>924 0702 01102 S8810 244 225</t>
  </si>
  <si>
    <t>924070701105S8320612241</t>
  </si>
  <si>
    <t>924 0707 0130188310  244 221</t>
  </si>
  <si>
    <t>924 0707 0130188310  244 227</t>
  </si>
  <si>
    <t>924 0707 0130188310  244 310</t>
  </si>
  <si>
    <t>925 0709 0140270100  244 226</t>
  </si>
  <si>
    <t>925 0709 0140280200  244 310</t>
  </si>
  <si>
    <t>924 0709 0140280200 111 266</t>
  </si>
  <si>
    <t xml:space="preserve">Муниципальная программа Нижнедевицкого муниципального района на 2018 -2023гг "Развитие образования"
</t>
  </si>
  <si>
    <t xml:space="preserve">Муниципальная программа Нижнедевицкого муниципального района на 2018 -2023гг "Развитие образования"
</t>
  </si>
  <si>
    <t>924 0701 01101 S8300244310</t>
  </si>
  <si>
    <t>924 0702 01102 S8750   243 226</t>
  </si>
  <si>
    <t>924 0702 01102 S8810 244 226</t>
  </si>
  <si>
    <t>924 0702 01102 00590 852 291</t>
  </si>
  <si>
    <t>924 0702 01102 20540244340</t>
  </si>
  <si>
    <t>924 0707 0130188310  244 222</t>
  </si>
  <si>
    <t>924 07 07 011 06S8320 244 340</t>
  </si>
  <si>
    <t>925 0709 0140280200  244 222</t>
  </si>
  <si>
    <t>92410040140478543313262</t>
  </si>
  <si>
    <t>924 0702 011Е151690244310</t>
  </si>
  <si>
    <t>924 0702 01102S8940 244 310</t>
  </si>
  <si>
    <t>92410040140478542313262</t>
  </si>
  <si>
    <t>92410040140478541313262</t>
  </si>
  <si>
    <t xml:space="preserve">Расходы на реализацию муниципальной программы Нижнедевицкого муниципального района Воронежской области   муниципальной программы Нижнедевицкого муниципального района на 2018-2023гг "Развития образования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_____________________________________________________________________                                 </t>
  </si>
  <si>
    <t xml:space="preserve"> 924 0702 0110253030 111 211</t>
  </si>
  <si>
    <t>924 07 07 011 05S8320 244 227</t>
  </si>
  <si>
    <t>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района»</t>
  </si>
  <si>
    <t>Обеспечение учащихся общеобразовательных учреждений молочной продукцией»</t>
  </si>
  <si>
    <t>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района»</t>
  </si>
  <si>
    <t>Мероприятия в области дополнительного образования и воспитания детей.</t>
  </si>
  <si>
    <t xml:space="preserve"> Выплаты семьям опекунов на содержание подопечных детей</t>
  </si>
  <si>
    <t xml:space="preserve"> Выплаты вознаграждения, причитающегося приемному родителю</t>
  </si>
  <si>
    <t>Обеспечение учащихся общеобразовательных учреждений молочной продукцией</t>
  </si>
  <si>
    <t xml:space="preserve">Мероприятия в области дополнительного образования и воспитания детей </t>
  </si>
  <si>
    <t xml:space="preserve">Выполнение переданных полномочий по организации и осуществлению деятельности по опеке и попечительству  </t>
  </si>
  <si>
    <t xml:space="preserve"> Выплаыт семьям опекунов на содержание подопечных детей</t>
  </si>
  <si>
    <t>Выплаты вознаграждения, причитающегося приемному родителю</t>
  </si>
  <si>
    <t>924 0701 01101 00590 242 226</t>
  </si>
  <si>
    <t>924  0701 01101 00590 242310</t>
  </si>
  <si>
    <t>924 0701 01101 00590 244 342</t>
  </si>
  <si>
    <t>924 0701 01101 00590 244 343</t>
  </si>
  <si>
    <t>924 0701 01101 00590 244 346</t>
  </si>
  <si>
    <t>924 0701 01101 00590 244 345</t>
  </si>
  <si>
    <t>924 0701 01101 00590 244 344</t>
  </si>
  <si>
    <t>924 0701 01101 00590 831 297</t>
  </si>
  <si>
    <t>924  0701 01101 00590 853 292</t>
  </si>
  <si>
    <t>924 0701 01101 00590 853 293</t>
  </si>
  <si>
    <t>924 0702 011Е151690242310</t>
  </si>
  <si>
    <t>924 0702 011Е452100242310</t>
  </si>
  <si>
    <t>92407020110220570244225</t>
  </si>
  <si>
    <t>924 0702 01102 20540242310</t>
  </si>
  <si>
    <t>924 0702 01102 00590 242 226</t>
  </si>
  <si>
    <t>924 0701 0110178290 242 310</t>
  </si>
  <si>
    <t>924 0701 01101 S8100414228</t>
  </si>
  <si>
    <t>924 0702 01102 781 20  242 226</t>
  </si>
  <si>
    <t>924 0702 01102 781 20  242310</t>
  </si>
  <si>
    <t>924070201104L3040244 342</t>
  </si>
  <si>
    <t>92407020110288490244225</t>
  </si>
  <si>
    <t>924 0702 01102S9000244310</t>
  </si>
  <si>
    <t xml:space="preserve"> 924 0702 0110253030 111 213</t>
  </si>
  <si>
    <t>924 0709 0140182010 121  266</t>
  </si>
  <si>
    <t>925 0709 0140280200  242 226</t>
  </si>
  <si>
    <t>925 0709 0140280200  242310</t>
  </si>
  <si>
    <t>925 0709 0140280200  851 291</t>
  </si>
  <si>
    <t>924 0702 01102 S8750  243 225</t>
  </si>
  <si>
    <t xml:space="preserve"> </t>
  </si>
  <si>
    <t>924 0702 0110220570 244 310</t>
  </si>
  <si>
    <t>Выполнение переданных полномочий по организации и осуществлению деятельности по опеке и попечительству</t>
  </si>
  <si>
    <t>Выполнение других расходных обязвтельств                         Финансовое  обеспечение выполнения других расходных обязательств</t>
  </si>
  <si>
    <t>Расходы на обеспечение функции муниципальных органов                                        Финансовое  обеспечение деятельности органов местного самоуправления</t>
  </si>
  <si>
    <t>924 01 13 01403 78392 121 211</t>
  </si>
  <si>
    <t>924 01 13 01403  78392 121 266</t>
  </si>
  <si>
    <t>924 01 13 01403  78392 129 213</t>
  </si>
  <si>
    <t>924 01 13  01403  78392 242 221</t>
  </si>
  <si>
    <t>924 01 13  01403  78392 244 221</t>
  </si>
  <si>
    <t>924 01 13  01403  78392 244 225</t>
  </si>
  <si>
    <t>924 01 13  01403  78392 244 226</t>
  </si>
  <si>
    <t>924 01 13  01403  78392 242 310</t>
  </si>
  <si>
    <t>924 01 13  01403  78392 244 340</t>
  </si>
  <si>
    <t>924 0703 01201 0059 600 241</t>
  </si>
  <si>
    <t>924 0703 01201 00590 111211</t>
  </si>
  <si>
    <t>924 0703 01201 00590 111266</t>
  </si>
  <si>
    <t>924 0703 01201 00590119213</t>
  </si>
  <si>
    <t>924 0703  01201 00590242221</t>
  </si>
  <si>
    <t>924 0703  01201 00590244223</t>
  </si>
  <si>
    <t>924 0703  01201 00590 244225</t>
  </si>
  <si>
    <t>924 0703  01201 88490 244 225</t>
  </si>
  <si>
    <t>924 0703  01201 00590 244226</t>
  </si>
  <si>
    <t>924 0703  0120100590 851 290</t>
  </si>
  <si>
    <t>924 0703  01201 00590 851 291</t>
  </si>
  <si>
    <t>924 0703  01201 00590 853 292</t>
  </si>
  <si>
    <t>924 0703  0120188490244310</t>
  </si>
  <si>
    <t>924 0703  0120120540242310</t>
  </si>
  <si>
    <t>924 0703  0120100590244340</t>
  </si>
  <si>
    <t>№ 153  от 11 марта 2021 г</t>
  </si>
  <si>
    <t>№153 от 11 марта 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</si>
</sst>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00"/>
    <numFmt numFmtId="167" formatCode="0.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trike/>
      <sz val="12"/>
      <name val="Calibri"/>
      <family val="2"/>
      <charset val="204"/>
    </font>
    <font>
      <strike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6">
    <xf numFmtId="0" fontId="0" fillId="0" borderId="0"/>
    <xf numFmtId="0" fontId="1" fillId="0" borderId="0"/>
    <xf numFmtId="4" fontId="16" fillId="0" borderId="9">
      <alignment horizontal="right" vertical="top" shrinkToFit="1"/>
    </xf>
    <xf numFmtId="4" fontId="16" fillId="0" borderId="9">
      <alignment horizontal="right" vertical="top" shrinkToFit="1"/>
    </xf>
    <xf numFmtId="0" fontId="18" fillId="0" borderId="10">
      <alignment horizontal="left" vertical="top" wrapText="1"/>
    </xf>
    <xf numFmtId="4" fontId="16" fillId="0" borderId="9">
      <alignment horizontal="right" vertical="top" shrinkToFit="1"/>
    </xf>
  </cellStyleXfs>
  <cellXfs count="130">
    <xf numFmtId="0" fontId="0" fillId="0" borderId="0" xfId="0"/>
    <xf numFmtId="0" fontId="6" fillId="0" borderId="0" xfId="1" applyFont="1"/>
    <xf numFmtId="0" fontId="4" fillId="0" borderId="0" xfId="1" applyFont="1" applyAlignment="1"/>
    <xf numFmtId="0" fontId="5" fillId="0" borderId="0" xfId="0" applyFont="1"/>
    <xf numFmtId="0" fontId="7" fillId="0" borderId="1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" fontId="3" fillId="0" borderId="2" xfId="1" applyNumberFormat="1" applyFont="1" applyFill="1" applyBorder="1" applyAlignment="1">
      <alignment horizontal="right" wrapText="1"/>
    </xf>
    <xf numFmtId="0" fontId="8" fillId="2" borderId="2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wrapText="1"/>
    </xf>
    <xf numFmtId="0" fontId="3" fillId="5" borderId="2" xfId="1" applyFont="1" applyFill="1" applyBorder="1" applyAlignment="1">
      <alignment wrapText="1"/>
    </xf>
    <xf numFmtId="3" fontId="3" fillId="4" borderId="2" xfId="1" applyNumberFormat="1" applyFont="1" applyFill="1" applyBorder="1" applyAlignment="1">
      <alignment horizontal="center" wrapText="1"/>
    </xf>
    <xf numFmtId="0" fontId="3" fillId="6" borderId="2" xfId="1" applyFont="1" applyFill="1" applyBorder="1" applyAlignment="1">
      <alignment wrapText="1"/>
    </xf>
    <xf numFmtId="0" fontId="8" fillId="4" borderId="2" xfId="1" applyFont="1" applyFill="1" applyBorder="1" applyAlignment="1">
      <alignment vertical="center" wrapText="1"/>
    </xf>
    <xf numFmtId="0" fontId="8" fillId="6" borderId="2" xfId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wrapText="1"/>
    </xf>
    <xf numFmtId="4" fontId="0" fillId="0" borderId="0" xfId="0" applyNumberFormat="1"/>
    <xf numFmtId="0" fontId="3" fillId="2" borderId="7" xfId="1" applyFont="1" applyFill="1" applyBorder="1" applyAlignment="1">
      <alignment wrapText="1"/>
    </xf>
    <xf numFmtId="0" fontId="7" fillId="0" borderId="0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0" fillId="0" borderId="2" xfId="0" applyNumberFormat="1" applyBorder="1"/>
    <xf numFmtId="2" fontId="0" fillId="0" borderId="2" xfId="0" applyNumberFormat="1" applyBorder="1"/>
    <xf numFmtId="165" fontId="0" fillId="0" borderId="0" xfId="0" applyNumberFormat="1"/>
    <xf numFmtId="164" fontId="3" fillId="2" borderId="2" xfId="1" applyNumberFormat="1" applyFont="1" applyFill="1" applyBorder="1" applyAlignment="1">
      <alignment wrapText="1"/>
    </xf>
    <xf numFmtId="166" fontId="3" fillId="0" borderId="2" xfId="1" applyNumberFormat="1" applyFont="1" applyFill="1" applyBorder="1" applyAlignment="1">
      <alignment horizontal="right" wrapText="1"/>
    </xf>
    <xf numFmtId="0" fontId="11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66" fontId="3" fillId="6" borderId="2" xfId="1" applyNumberFormat="1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wrapText="1"/>
    </xf>
    <xf numFmtId="0" fontId="3" fillId="0" borderId="2" xfId="1" applyFont="1" applyBorder="1" applyAlignment="1">
      <alignment horizontal="center" vertical="center"/>
    </xf>
    <xf numFmtId="0" fontId="3" fillId="2" borderId="3" xfId="1" applyFont="1" applyFill="1" applyBorder="1" applyAlignment="1">
      <alignment wrapText="1"/>
    </xf>
    <xf numFmtId="166" fontId="8" fillId="7" borderId="2" xfId="1" applyNumberFormat="1" applyFont="1" applyFill="1" applyBorder="1" applyAlignment="1">
      <alignment horizontal="right" wrapText="1"/>
    </xf>
    <xf numFmtId="166" fontId="8" fillId="6" borderId="2" xfId="1" applyNumberFormat="1" applyFont="1" applyFill="1" applyBorder="1" applyAlignment="1">
      <alignment horizontal="right" wrapText="1"/>
    </xf>
    <xf numFmtId="166" fontId="8" fillId="0" borderId="2" xfId="1" applyNumberFormat="1" applyFont="1" applyFill="1" applyBorder="1" applyAlignment="1">
      <alignment horizontal="right" wrapText="1"/>
    </xf>
    <xf numFmtId="166" fontId="3" fillId="4" borderId="2" xfId="1" applyNumberFormat="1" applyFont="1" applyFill="1" applyBorder="1" applyAlignment="1">
      <alignment horizontal="right" wrapText="1"/>
    </xf>
    <xf numFmtId="166" fontId="3" fillId="5" borderId="2" xfId="1" applyNumberFormat="1" applyFont="1" applyFill="1" applyBorder="1" applyAlignment="1">
      <alignment horizontal="right" wrapText="1"/>
    </xf>
    <xf numFmtId="166" fontId="3" fillId="0" borderId="2" xfId="1" applyNumberFormat="1" applyFont="1" applyBorder="1" applyAlignment="1">
      <alignment horizontal="right" wrapText="1"/>
    </xf>
    <xf numFmtId="166" fontId="9" fillId="0" borderId="2" xfId="1" applyNumberFormat="1" applyFont="1" applyFill="1" applyBorder="1" applyAlignment="1">
      <alignment horizontal="right" wrapText="1"/>
    </xf>
    <xf numFmtId="166" fontId="3" fillId="0" borderId="2" xfId="1" applyNumberFormat="1" applyFont="1" applyFill="1" applyBorder="1" applyAlignment="1">
      <alignment horizontal="right" vertical="center" wrapText="1"/>
    </xf>
    <xf numFmtId="0" fontId="15" fillId="0" borderId="0" xfId="0" applyFont="1"/>
    <xf numFmtId="4" fontId="15" fillId="0" borderId="0" xfId="0" applyNumberFormat="1" applyFont="1"/>
    <xf numFmtId="0" fontId="14" fillId="0" borderId="0" xfId="0" applyFont="1"/>
    <xf numFmtId="4" fontId="2" fillId="0" borderId="0" xfId="1" applyNumberFormat="1" applyFont="1"/>
    <xf numFmtId="4" fontId="4" fillId="0" borderId="0" xfId="1" applyNumberFormat="1" applyFont="1"/>
    <xf numFmtId="4" fontId="2" fillId="0" borderId="0" xfId="1" applyNumberFormat="1" applyFont="1" applyAlignment="1">
      <alignment horizont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top" wrapText="1"/>
    </xf>
    <xf numFmtId="166" fontId="0" fillId="0" borderId="0" xfId="0" applyNumberFormat="1"/>
    <xf numFmtId="166" fontId="8" fillId="0" borderId="2" xfId="1" applyNumberFormat="1" applyFont="1" applyBorder="1" applyAlignment="1">
      <alignment horizontal="right" wrapText="1"/>
    </xf>
    <xf numFmtId="0" fontId="3" fillId="4" borderId="2" xfId="1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166" fontId="8" fillId="0" borderId="2" xfId="1" applyNumberFormat="1" applyFont="1" applyFill="1" applyBorder="1" applyAlignment="1">
      <alignment horizontal="right" vertical="center" wrapText="1"/>
    </xf>
    <xf numFmtId="166" fontId="10" fillId="0" borderId="2" xfId="1" applyNumberFormat="1" applyFont="1" applyFill="1" applyBorder="1" applyAlignment="1">
      <alignment horizontal="right" vertical="center" wrapText="1"/>
    </xf>
    <xf numFmtId="166" fontId="0" fillId="0" borderId="2" xfId="0" applyNumberFormat="1" applyFill="1" applyBorder="1" applyAlignment="1">
      <alignment horizontal="right"/>
    </xf>
    <xf numFmtId="166" fontId="3" fillId="4" borderId="2" xfId="1" applyNumberFormat="1" applyFont="1" applyFill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/>
    </xf>
    <xf numFmtId="166" fontId="3" fillId="6" borderId="2" xfId="1" applyNumberFormat="1" applyFont="1" applyFill="1" applyBorder="1" applyAlignment="1">
      <alignment horizontal="right" vertical="center" wrapText="1"/>
    </xf>
    <xf numFmtId="166" fontId="0" fillId="0" borderId="2" xfId="0" applyNumberFormat="1" applyBorder="1" applyAlignment="1">
      <alignment horizontal="right"/>
    </xf>
    <xf numFmtId="0" fontId="0" fillId="0" borderId="1" xfId="0" applyBorder="1" applyAlignment="1"/>
    <xf numFmtId="0" fontId="0" fillId="0" borderId="0" xfId="0" applyBorder="1" applyAlignment="1"/>
    <xf numFmtId="0" fontId="0" fillId="0" borderId="5" xfId="0" applyBorder="1" applyAlignment="1">
      <alignment wrapText="1"/>
    </xf>
    <xf numFmtId="0" fontId="10" fillId="2" borderId="4" xfId="1" applyFont="1" applyFill="1" applyBorder="1" applyAlignment="1">
      <alignment vertical="center" wrapText="1"/>
    </xf>
    <xf numFmtId="167" fontId="3" fillId="0" borderId="2" xfId="1" applyNumberFormat="1" applyFont="1" applyFill="1" applyBorder="1" applyAlignment="1">
      <alignment horizontal="right" wrapText="1"/>
    </xf>
    <xf numFmtId="0" fontId="3" fillId="2" borderId="3" xfId="1" applyFont="1" applyFill="1" applyBorder="1" applyAlignment="1">
      <alignment wrapText="1"/>
    </xf>
    <xf numFmtId="0" fontId="0" fillId="0" borderId="5" xfId="0" applyBorder="1" applyAlignment="1">
      <alignment wrapText="1"/>
    </xf>
    <xf numFmtId="4" fontId="17" fillId="0" borderId="2" xfId="3" applyNumberFormat="1" applyFont="1" applyBorder="1" applyProtection="1">
      <alignment horizontal="right" vertical="top" shrinkToFit="1"/>
    </xf>
    <xf numFmtId="4" fontId="17" fillId="0" borderId="2" xfId="2" applyNumberFormat="1" applyFont="1" applyBorder="1" applyProtection="1">
      <alignment horizontal="right" vertical="top" shrinkToFit="1"/>
    </xf>
    <xf numFmtId="4" fontId="16" fillId="0" borderId="9" xfId="5" applyNumberFormat="1" applyProtection="1">
      <alignment horizontal="right" vertical="top" shrinkToFit="1"/>
    </xf>
    <xf numFmtId="0" fontId="3" fillId="2" borderId="2" xfId="1" applyFont="1" applyFill="1" applyBorder="1" applyAlignment="1">
      <alignment horizontal="left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left" wrapText="1"/>
    </xf>
    <xf numFmtId="49" fontId="3" fillId="8" borderId="2" xfId="0" applyNumberFormat="1" applyFont="1" applyFill="1" applyBorder="1" applyAlignment="1">
      <alignment horizontal="left" vertical="center" wrapText="1"/>
    </xf>
    <xf numFmtId="166" fontId="3" fillId="8" borderId="2" xfId="1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1" applyFont="1" applyBorder="1" applyAlignment="1">
      <alignment horizontal="center" vertical="center" wrapText="1"/>
    </xf>
    <xf numFmtId="0" fontId="0" fillId="0" borderId="0" xfId="0" applyAlignment="1"/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0" fillId="0" borderId="2" xfId="0" applyBorder="1" applyAlignment="1"/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3" fillId="0" borderId="2" xfId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3" fillId="2" borderId="3" xfId="1" applyFont="1" applyFill="1" applyBorder="1" applyAlignment="1">
      <alignment horizontal="left" vertical="top" wrapText="1"/>
    </xf>
    <xf numFmtId="0" fontId="3" fillId="2" borderId="4" xfId="1" applyFont="1" applyFill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9" fillId="0" borderId="3" xfId="1" applyFont="1" applyBorder="1" applyAlignment="1">
      <alignment horizontal="left" vertical="top" wrapText="1"/>
    </xf>
    <xf numFmtId="0" fontId="9" fillId="0" borderId="4" xfId="1" applyFont="1" applyBorder="1" applyAlignment="1">
      <alignment horizontal="left" vertical="top" wrapText="1"/>
    </xf>
    <xf numFmtId="0" fontId="9" fillId="2" borderId="3" xfId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9" fillId="0" borderId="2" xfId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wrapText="1"/>
    </xf>
    <xf numFmtId="0" fontId="3" fillId="2" borderId="4" xfId="1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vertical="top" wrapText="1"/>
    </xf>
    <xf numFmtId="0" fontId="3" fillId="2" borderId="4" xfId="1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2" borderId="4" xfId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wrapText="1"/>
    </xf>
    <xf numFmtId="0" fontId="3" fillId="0" borderId="4" xfId="1" applyFont="1" applyFill="1" applyBorder="1" applyAlignment="1">
      <alignment wrapText="1"/>
    </xf>
    <xf numFmtId="0" fontId="0" fillId="0" borderId="6" xfId="0" applyBorder="1" applyAlignment="1"/>
    <xf numFmtId="0" fontId="0" fillId="0" borderId="8" xfId="0" applyBorder="1" applyAlignment="1"/>
    <xf numFmtId="0" fontId="3" fillId="2" borderId="5" xfId="1" applyFont="1" applyFill="1" applyBorder="1" applyAlignment="1">
      <alignment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/>
  </cellXfs>
  <cellStyles count="6">
    <cellStyle name="ex70" xfId="2"/>
    <cellStyle name="ex73" xfId="3"/>
    <cellStyle name="ex76" xfId="5"/>
    <cellStyle name="st78" xfId="4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0;&#1044;&#1046;&#1045;&#1058;%202019&#1043;\&#1073;&#1102;&#1076;&#1078;&#1077;&#1090;&#1085;&#1072;&#1103;%20%20&#1088;&#1086;&#1089;&#1087;&#1080;&#1089;&#1100;%202019%20-%20&#1082;&#1086;&#1087;&#1080;&#1103;\&#1073;&#1102;&#1076;&#1078;&#1077;&#1090;%20&#1087;&#1086;%20&#1044;&#1054;%20&#1076;&#1086;&#1084;%20&#1087;&#1080;&#1086;&#1085;&#1077;&#1088;&#1086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0;&#1044;&#1046;&#1045;&#1058;%202019&#1043;\&#1073;&#1102;&#1076;&#1078;&#1077;&#1090;&#1085;&#1072;&#1103;%20%20&#1088;&#1086;&#1089;&#1087;&#1080;&#1089;&#1100;%202019%20-%20&#1082;&#1086;&#1087;&#1080;&#1103;\&#1050;&#1085;&#1080;&#1075;&#1072;1%20&#1086;&#1090;&#1076;&#1077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годовая "/>
    </sheetNames>
    <sheetDataSet>
      <sheetData sheetId="0" refreshError="1"/>
      <sheetData sheetId="1">
        <row r="24">
          <cell r="M24">
            <v>2955000</v>
          </cell>
        </row>
        <row r="25">
          <cell r="M25">
            <v>1002000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</sheetNames>
    <sheetDataSet>
      <sheetData sheetId="0">
        <row r="24">
          <cell r="M24">
            <v>498000</v>
          </cell>
        </row>
        <row r="36">
          <cell r="M36">
            <v>1294000</v>
          </cell>
        </row>
        <row r="37">
          <cell r="M37">
            <v>376000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tabSelected="1" topLeftCell="B1" zoomScale="110" zoomScaleNormal="110" workbookViewId="0">
      <selection activeCell="B90" sqref="B90:B94"/>
    </sheetView>
  </sheetViews>
  <sheetFormatPr defaultRowHeight="14.4" x14ac:dyDescent="0.3"/>
  <cols>
    <col min="1" max="1" width="25.44140625" customWidth="1"/>
    <col min="2" max="2" width="33.5546875" customWidth="1"/>
    <col min="3" max="3" width="18.109375" customWidth="1"/>
    <col min="4" max="4" width="15.5546875" customWidth="1"/>
    <col min="5" max="5" width="15.88671875" customWidth="1"/>
    <col min="6" max="6" width="14.6640625" customWidth="1"/>
    <col min="7" max="7" width="15.5546875" customWidth="1"/>
    <col min="8" max="8" width="15.6640625" customWidth="1"/>
    <col min="9" max="9" width="16.109375" customWidth="1"/>
  </cols>
  <sheetData>
    <row r="1" spans="1:9" ht="15.6" x14ac:dyDescent="0.3">
      <c r="A1" s="1"/>
      <c r="B1" s="1"/>
      <c r="C1" s="1"/>
      <c r="D1" s="2"/>
      <c r="E1" s="80" t="s">
        <v>49</v>
      </c>
      <c r="F1" s="80"/>
      <c r="G1" s="48"/>
      <c r="H1" s="48"/>
      <c r="I1" s="48"/>
    </row>
    <row r="2" spans="1:9" ht="15.6" x14ac:dyDescent="0.3">
      <c r="A2" s="1"/>
      <c r="B2" s="1"/>
      <c r="C2" s="1"/>
      <c r="D2" s="49" t="s">
        <v>51</v>
      </c>
      <c r="E2" s="49"/>
      <c r="F2" s="49"/>
      <c r="G2" s="48"/>
      <c r="H2" s="48"/>
      <c r="I2" s="48"/>
    </row>
    <row r="3" spans="1:9" ht="15.6" x14ac:dyDescent="0.3">
      <c r="A3" s="1"/>
      <c r="B3" s="1"/>
      <c r="C3" s="1"/>
      <c r="D3" s="50"/>
      <c r="E3" s="51" t="s">
        <v>242</v>
      </c>
      <c r="F3" s="50"/>
      <c r="G3" s="48"/>
      <c r="H3" s="48"/>
      <c r="I3" s="48"/>
    </row>
    <row r="4" spans="1:9" ht="15.6" x14ac:dyDescent="0.3">
      <c r="A4" s="1"/>
      <c r="B4" s="1"/>
      <c r="C4" s="1"/>
      <c r="D4" s="50"/>
      <c r="E4" s="50"/>
      <c r="F4" s="50"/>
      <c r="G4" s="48"/>
      <c r="H4" s="48"/>
      <c r="I4" s="48"/>
    </row>
    <row r="5" spans="1:9" ht="61.5" customHeight="1" x14ac:dyDescent="0.3">
      <c r="A5" s="81" t="s">
        <v>100</v>
      </c>
      <c r="B5" s="81"/>
      <c r="C5" s="81"/>
      <c r="D5" s="81"/>
      <c r="E5" s="81"/>
      <c r="F5" s="81"/>
      <c r="G5" s="82"/>
      <c r="H5" s="82"/>
      <c r="I5" s="82"/>
    </row>
    <row r="6" spans="1:9" x14ac:dyDescent="0.3">
      <c r="A6" s="4"/>
      <c r="B6" s="4"/>
      <c r="C6" s="4"/>
      <c r="D6" s="22"/>
      <c r="E6" s="22"/>
      <c r="F6" s="22"/>
    </row>
    <row r="7" spans="1:9" ht="15" customHeight="1" x14ac:dyDescent="0.3">
      <c r="A7" s="83" t="s">
        <v>0</v>
      </c>
      <c r="B7" s="84" t="s">
        <v>1</v>
      </c>
      <c r="C7" s="85" t="s">
        <v>2</v>
      </c>
      <c r="D7" s="86" t="s">
        <v>3</v>
      </c>
      <c r="E7" s="87"/>
      <c r="F7" s="87"/>
      <c r="G7" s="87"/>
      <c r="H7" s="87"/>
      <c r="I7" s="87"/>
    </row>
    <row r="8" spans="1:9" ht="126.75" customHeight="1" x14ac:dyDescent="0.3">
      <c r="A8" s="83"/>
      <c r="B8" s="84"/>
      <c r="C8" s="85"/>
      <c r="D8" s="34" t="s">
        <v>62</v>
      </c>
      <c r="E8" s="34" t="s">
        <v>63</v>
      </c>
      <c r="F8" s="23" t="s">
        <v>64</v>
      </c>
      <c r="G8" s="23" t="s">
        <v>65</v>
      </c>
      <c r="H8" s="23" t="s">
        <v>66</v>
      </c>
      <c r="I8" s="23" t="s">
        <v>67</v>
      </c>
    </row>
    <row r="9" spans="1:9" x14ac:dyDescent="0.3">
      <c r="A9" s="52">
        <v>1</v>
      </c>
      <c r="B9" s="52">
        <v>2</v>
      </c>
      <c r="C9" s="5">
        <v>3</v>
      </c>
      <c r="D9" s="5">
        <v>5</v>
      </c>
      <c r="E9" s="52">
        <v>6</v>
      </c>
      <c r="F9" s="5">
        <v>7</v>
      </c>
      <c r="G9" s="52">
        <v>8</v>
      </c>
      <c r="H9" s="52">
        <v>9</v>
      </c>
      <c r="I9" s="5">
        <v>10</v>
      </c>
    </row>
    <row r="10" spans="1:9" x14ac:dyDescent="0.3">
      <c r="A10" s="88" t="s">
        <v>4</v>
      </c>
      <c r="B10" s="88" t="s">
        <v>157</v>
      </c>
      <c r="C10" s="29" t="s">
        <v>40</v>
      </c>
      <c r="D10" s="38">
        <f t="shared" ref="D10:I10" si="0">D11+D12+D13+D14</f>
        <v>214178.52500000002</v>
      </c>
      <c r="E10" s="38">
        <f t="shared" si="0"/>
        <v>248272.23595</v>
      </c>
      <c r="F10" s="38">
        <f t="shared" si="0"/>
        <v>232295.66490000003</v>
      </c>
      <c r="G10" s="38">
        <f t="shared" si="0"/>
        <v>240279.948</v>
      </c>
      <c r="H10" s="38">
        <f t="shared" si="0"/>
        <v>224345.34599999999</v>
      </c>
      <c r="I10" s="38">
        <f t="shared" si="0"/>
        <v>234994.14499999999</v>
      </c>
    </row>
    <row r="11" spans="1:9" ht="26.4" x14ac:dyDescent="0.3">
      <c r="A11" s="89"/>
      <c r="B11" s="89"/>
      <c r="C11" s="30" t="s">
        <v>41</v>
      </c>
      <c r="D11" s="55">
        <f t="shared" ref="D11:I14" si="1">D16+D46+D56+D66</f>
        <v>365.9</v>
      </c>
      <c r="E11" s="55">
        <f t="shared" si="1"/>
        <v>2625.1670000000004</v>
      </c>
      <c r="F11" s="55">
        <f t="shared" si="1"/>
        <v>9962.1489999999994</v>
      </c>
      <c r="G11" s="55">
        <f t="shared" si="1"/>
        <v>17427.32</v>
      </c>
      <c r="H11" s="55">
        <f t="shared" si="1"/>
        <v>19266.8</v>
      </c>
      <c r="I11" s="55">
        <f t="shared" si="1"/>
        <v>21790.799999999999</v>
      </c>
    </row>
    <row r="12" spans="1:9" ht="31.5" customHeight="1" x14ac:dyDescent="0.3">
      <c r="A12" s="89"/>
      <c r="B12" s="89"/>
      <c r="C12" s="31" t="s">
        <v>42</v>
      </c>
      <c r="D12" s="55">
        <f t="shared" si="1"/>
        <v>134847.00700000001</v>
      </c>
      <c r="E12" s="55">
        <f t="shared" si="1"/>
        <v>153007.62815</v>
      </c>
      <c r="F12" s="55">
        <f t="shared" si="1"/>
        <v>149429.34465000001</v>
      </c>
      <c r="G12" s="55">
        <f t="shared" si="1"/>
        <v>149604.74799999999</v>
      </c>
      <c r="H12" s="55">
        <f t="shared" si="1"/>
        <v>157617.546</v>
      </c>
      <c r="I12" s="55">
        <f t="shared" si="1"/>
        <v>165742.345</v>
      </c>
    </row>
    <row r="13" spans="1:9" ht="30.75" customHeight="1" x14ac:dyDescent="0.3">
      <c r="A13" s="90"/>
      <c r="B13" s="90"/>
      <c r="C13" s="31" t="s">
        <v>43</v>
      </c>
      <c r="D13" s="55">
        <f t="shared" si="1"/>
        <v>78055.618000000002</v>
      </c>
      <c r="E13" s="55">
        <f t="shared" si="1"/>
        <v>91679.440799999997</v>
      </c>
      <c r="F13" s="55">
        <f t="shared" si="1"/>
        <v>71894.171249999999</v>
      </c>
      <c r="G13" s="55">
        <f t="shared" si="1"/>
        <v>73247.88</v>
      </c>
      <c r="H13" s="55">
        <f t="shared" si="1"/>
        <v>47461</v>
      </c>
      <c r="I13" s="55">
        <f t="shared" si="1"/>
        <v>47461</v>
      </c>
    </row>
    <row r="14" spans="1:9" ht="27.75" customHeight="1" x14ac:dyDescent="0.3">
      <c r="A14" s="91"/>
      <c r="B14" s="91"/>
      <c r="C14" s="32" t="s">
        <v>45</v>
      </c>
      <c r="D14" s="55">
        <f t="shared" si="1"/>
        <v>910</v>
      </c>
      <c r="E14" s="55">
        <f t="shared" si="1"/>
        <v>960</v>
      </c>
      <c r="F14" s="55">
        <f t="shared" si="1"/>
        <v>1010</v>
      </c>
      <c r="G14" s="55">
        <f t="shared" si="1"/>
        <v>0</v>
      </c>
      <c r="H14" s="55">
        <f t="shared" si="1"/>
        <v>0</v>
      </c>
      <c r="I14" s="55">
        <f t="shared" si="1"/>
        <v>0</v>
      </c>
    </row>
    <row r="15" spans="1:9" x14ac:dyDescent="0.3">
      <c r="A15" s="92" t="s">
        <v>8</v>
      </c>
      <c r="B15" s="92" t="s">
        <v>60</v>
      </c>
      <c r="C15" s="29" t="s">
        <v>40</v>
      </c>
      <c r="D15" s="39">
        <f t="shared" ref="D15:I15" si="2">D16+D17+D18+D19</f>
        <v>175364.1122</v>
      </c>
      <c r="E15" s="39">
        <f t="shared" si="2"/>
        <v>203607.31599999999</v>
      </c>
      <c r="F15" s="39">
        <f t="shared" si="2"/>
        <v>195795.78112</v>
      </c>
      <c r="G15" s="39">
        <f t="shared" si="2"/>
        <v>191900.74799999999</v>
      </c>
      <c r="H15" s="39">
        <f t="shared" si="2"/>
        <v>174395.64600000001</v>
      </c>
      <c r="I15" s="39">
        <f t="shared" si="2"/>
        <v>184319.745</v>
      </c>
    </row>
    <row r="16" spans="1:9" ht="26.4" x14ac:dyDescent="0.3">
      <c r="A16" s="92"/>
      <c r="B16" s="92"/>
      <c r="C16" s="30" t="s">
        <v>41</v>
      </c>
      <c r="D16" s="40">
        <f t="shared" ref="D16:E19" si="3">D21+D31+D36+D41+D26</f>
        <v>0</v>
      </c>
      <c r="E16" s="40">
        <f>E21+E31+E36+E41+E26</f>
        <v>1573.7670000000001</v>
      </c>
      <c r="F16" s="40">
        <f t="shared" ref="F16:I19" si="4">F21+F31+F36+F41+F26</f>
        <v>9396.8169999999991</v>
      </c>
      <c r="G16" s="40">
        <f>G21+G26+G31+G36+G41</f>
        <v>16972.62</v>
      </c>
      <c r="H16" s="40">
        <f t="shared" si="4"/>
        <v>18794</v>
      </c>
      <c r="I16" s="40">
        <f t="shared" si="4"/>
        <v>21279</v>
      </c>
    </row>
    <row r="17" spans="1:9" x14ac:dyDescent="0.3">
      <c r="A17" s="92"/>
      <c r="B17" s="92"/>
      <c r="C17" s="31" t="s">
        <v>42</v>
      </c>
      <c r="D17" s="40">
        <f t="shared" si="3"/>
        <v>118425</v>
      </c>
      <c r="E17" s="40">
        <f t="shared" si="3"/>
        <v>135958.693</v>
      </c>
      <c r="F17" s="40">
        <f t="shared" si="4"/>
        <v>136861.45319</v>
      </c>
      <c r="G17" s="40">
        <f t="shared" ref="G17:G18" si="5">G22+G27+G32+G37+G42</f>
        <v>126460.24799999999</v>
      </c>
      <c r="H17" s="40">
        <f t="shared" si="4"/>
        <v>132920.64600000001</v>
      </c>
      <c r="I17" s="40">
        <f t="shared" si="4"/>
        <v>140359.745</v>
      </c>
    </row>
    <row r="18" spans="1:9" x14ac:dyDescent="0.3">
      <c r="A18" s="92"/>
      <c r="B18" s="92"/>
      <c r="C18" s="31" t="s">
        <v>43</v>
      </c>
      <c r="D18" s="40">
        <f t="shared" si="3"/>
        <v>56139.112200000003</v>
      </c>
      <c r="E18" s="40">
        <f t="shared" si="3"/>
        <v>65224.856</v>
      </c>
      <c r="F18" s="40">
        <f t="shared" si="4"/>
        <v>48637.510929999997</v>
      </c>
      <c r="G18" s="40">
        <f t="shared" si="5"/>
        <v>48467.880000000005</v>
      </c>
      <c r="H18" s="40">
        <f t="shared" si="4"/>
        <v>22681</v>
      </c>
      <c r="I18" s="40">
        <f t="shared" si="4"/>
        <v>22681</v>
      </c>
    </row>
    <row r="19" spans="1:9" ht="26.4" x14ac:dyDescent="0.3">
      <c r="A19" s="92"/>
      <c r="B19" s="92"/>
      <c r="C19" s="32" t="s">
        <v>44</v>
      </c>
      <c r="D19" s="40">
        <f t="shared" si="3"/>
        <v>800</v>
      </c>
      <c r="E19" s="40">
        <f t="shared" si="3"/>
        <v>850</v>
      </c>
      <c r="F19" s="40">
        <f t="shared" si="4"/>
        <v>900</v>
      </c>
      <c r="G19" s="40">
        <f t="shared" si="4"/>
        <v>0</v>
      </c>
      <c r="H19" s="40">
        <f t="shared" si="4"/>
        <v>0</v>
      </c>
      <c r="I19" s="40">
        <f t="shared" si="4"/>
        <v>0</v>
      </c>
    </row>
    <row r="20" spans="1:9" x14ac:dyDescent="0.3">
      <c r="A20" s="88" t="s">
        <v>9</v>
      </c>
      <c r="B20" s="93" t="s">
        <v>176</v>
      </c>
      <c r="C20" s="29" t="s">
        <v>40</v>
      </c>
      <c r="D20" s="41">
        <f t="shared" ref="D20:I20" si="6">D22+D23+D24</f>
        <v>12893.7</v>
      </c>
      <c r="E20" s="41">
        <f t="shared" si="6"/>
        <v>14181.9</v>
      </c>
      <c r="F20" s="41">
        <f t="shared" si="6"/>
        <v>17551.699999999997</v>
      </c>
      <c r="G20" s="41">
        <f t="shared" si="6"/>
        <v>17551.7</v>
      </c>
      <c r="H20" s="41">
        <f t="shared" si="6"/>
        <v>18516.999999999996</v>
      </c>
      <c r="I20" s="41">
        <f t="shared" si="6"/>
        <v>19350.299999999996</v>
      </c>
    </row>
    <row r="21" spans="1:9" ht="26.4" x14ac:dyDescent="0.3">
      <c r="A21" s="89"/>
      <c r="B21" s="94"/>
      <c r="C21" s="30" t="s">
        <v>41</v>
      </c>
      <c r="D21" s="28"/>
      <c r="E21" s="28"/>
      <c r="F21" s="28"/>
      <c r="G21" s="28"/>
      <c r="H21" s="28"/>
      <c r="I21" s="28"/>
    </row>
    <row r="22" spans="1:9" ht="21.75" customHeight="1" x14ac:dyDescent="0.3">
      <c r="A22" s="89"/>
      <c r="B22" s="94"/>
      <c r="C22" s="31" t="s">
        <v>42</v>
      </c>
      <c r="D22" s="28">
        <v>12893.7</v>
      </c>
      <c r="E22" s="28">
        <v>14181.9</v>
      </c>
      <c r="F22" s="28">
        <f>'приложение 2'!G16</f>
        <v>17551.699999999997</v>
      </c>
      <c r="G22" s="28">
        <v>17551.7</v>
      </c>
      <c r="H22" s="28">
        <f>'приложение 2'!I16</f>
        <v>18516.999999999996</v>
      </c>
      <c r="I22" s="28">
        <f>'приложение 2'!J16</f>
        <v>19350.299999999996</v>
      </c>
    </row>
    <row r="23" spans="1:9" ht="15" customHeight="1" x14ac:dyDescent="0.3">
      <c r="A23" s="89"/>
      <c r="B23" s="94"/>
      <c r="C23" s="31" t="s">
        <v>43</v>
      </c>
      <c r="D23" s="28"/>
      <c r="E23" s="28"/>
      <c r="F23" s="28"/>
      <c r="G23" s="28"/>
      <c r="H23" s="28"/>
      <c r="I23" s="28"/>
    </row>
    <row r="24" spans="1:9" ht="30" customHeight="1" x14ac:dyDescent="0.3">
      <c r="A24" s="89"/>
      <c r="B24" s="94"/>
      <c r="C24" s="32" t="s">
        <v>45</v>
      </c>
      <c r="D24" s="28"/>
      <c r="E24" s="28"/>
      <c r="F24" s="28"/>
      <c r="G24" s="28"/>
      <c r="H24" s="28"/>
      <c r="I24" s="28"/>
    </row>
    <row r="25" spans="1:9" x14ac:dyDescent="0.3">
      <c r="A25" s="88" t="s">
        <v>46</v>
      </c>
      <c r="B25" s="88" t="s">
        <v>174</v>
      </c>
      <c r="C25" s="29" t="s">
        <v>40</v>
      </c>
      <c r="D25" s="41">
        <f t="shared" ref="D25:I25" si="7">D26+D27</f>
        <v>102190.39999999999</v>
      </c>
      <c r="E25" s="41">
        <f t="shared" si="7"/>
        <v>100778.5</v>
      </c>
      <c r="F25" s="41">
        <f t="shared" si="7"/>
        <v>109789.3</v>
      </c>
      <c r="G25" s="41">
        <f t="shared" si="7"/>
        <v>115125.5</v>
      </c>
      <c r="H25" s="41">
        <f t="shared" si="7"/>
        <v>120440.40000000001</v>
      </c>
      <c r="I25" s="41">
        <f t="shared" si="7"/>
        <v>126579.1</v>
      </c>
    </row>
    <row r="26" spans="1:9" ht="26.4" x14ac:dyDescent="0.3">
      <c r="A26" s="89"/>
      <c r="B26" s="89"/>
      <c r="C26" s="30" t="s">
        <v>41</v>
      </c>
      <c r="D26" s="60"/>
      <c r="E26" s="60"/>
      <c r="F26" s="60">
        <v>2968.6</v>
      </c>
      <c r="G26" s="28">
        <f>1823+7004.6</f>
        <v>8827.6</v>
      </c>
      <c r="H26" s="28">
        <f>1823+7004.6</f>
        <v>8827.6</v>
      </c>
      <c r="I26" s="28">
        <f>1823+7004.6</f>
        <v>8827.6</v>
      </c>
    </row>
    <row r="27" spans="1:9" x14ac:dyDescent="0.3">
      <c r="A27" s="89"/>
      <c r="B27" s="89"/>
      <c r="C27" s="31" t="s">
        <v>42</v>
      </c>
      <c r="D27" s="60">
        <v>102190.39999999999</v>
      </c>
      <c r="E27" s="60">
        <v>100778.5</v>
      </c>
      <c r="F27" s="60">
        <v>106820.7</v>
      </c>
      <c r="G27" s="60">
        <v>106297.9</v>
      </c>
      <c r="H27" s="60">
        <v>111612.8</v>
      </c>
      <c r="I27" s="60">
        <v>117751.5</v>
      </c>
    </row>
    <row r="28" spans="1:9" ht="21" customHeight="1" x14ac:dyDescent="0.3">
      <c r="A28" s="89"/>
      <c r="B28" s="89"/>
      <c r="C28" s="31" t="s">
        <v>43</v>
      </c>
      <c r="D28" s="60"/>
      <c r="E28" s="60"/>
      <c r="F28" s="60"/>
      <c r="G28" s="60"/>
      <c r="H28" s="60"/>
      <c r="I28" s="60"/>
    </row>
    <row r="29" spans="1:9" ht="31.5" customHeight="1" x14ac:dyDescent="0.3">
      <c r="A29" s="89"/>
      <c r="B29" s="89"/>
      <c r="C29" s="32" t="s">
        <v>45</v>
      </c>
      <c r="D29" s="60"/>
      <c r="E29" s="60"/>
      <c r="F29" s="60"/>
      <c r="G29" s="60"/>
      <c r="H29" s="60"/>
      <c r="I29" s="60"/>
    </row>
    <row r="30" spans="1:9" ht="30.75" customHeight="1" x14ac:dyDescent="0.3">
      <c r="A30" s="92" t="s">
        <v>47</v>
      </c>
      <c r="B30" s="92" t="s">
        <v>175</v>
      </c>
      <c r="C30" s="29" t="s">
        <v>40</v>
      </c>
      <c r="D30" s="41">
        <f t="shared" ref="D30:I30" si="8">D31+D32+D33+D34</f>
        <v>1111.5999999999999</v>
      </c>
      <c r="E30" s="41">
        <f t="shared" si="8"/>
        <v>1174</v>
      </c>
      <c r="F30" s="41">
        <f t="shared" si="8"/>
        <v>1014.984</v>
      </c>
      <c r="G30" s="41">
        <f t="shared" si="8"/>
        <v>1214.9000000000001</v>
      </c>
      <c r="H30" s="41">
        <f t="shared" si="8"/>
        <v>1213.9000000000001</v>
      </c>
      <c r="I30" s="41">
        <f t="shared" si="8"/>
        <v>1213.9000000000001</v>
      </c>
    </row>
    <row r="31" spans="1:9" ht="22.5" customHeight="1" x14ac:dyDescent="0.3">
      <c r="A31" s="92"/>
      <c r="B31" s="92"/>
      <c r="C31" s="30" t="s">
        <v>41</v>
      </c>
      <c r="D31" s="60"/>
      <c r="E31" s="60"/>
      <c r="F31" s="28"/>
      <c r="G31" s="60"/>
      <c r="H31" s="60"/>
      <c r="I31" s="60"/>
    </row>
    <row r="32" spans="1:9" ht="22.5" customHeight="1" x14ac:dyDescent="0.3">
      <c r="A32" s="92"/>
      <c r="B32" s="92"/>
      <c r="C32" s="31" t="s">
        <v>42</v>
      </c>
      <c r="D32" s="60">
        <v>555.79999999999995</v>
      </c>
      <c r="E32" s="60">
        <v>536</v>
      </c>
      <c r="F32" s="28">
        <v>440</v>
      </c>
      <c r="G32" s="28">
        <f>'приложение 2'!H46</f>
        <v>606.90000000000009</v>
      </c>
      <c r="H32" s="28">
        <f>'приложение 2'!I46</f>
        <v>606.9</v>
      </c>
      <c r="I32" s="28">
        <f>'приложение 2'!J46</f>
        <v>606.9</v>
      </c>
    </row>
    <row r="33" spans="1:9" ht="22.5" customHeight="1" x14ac:dyDescent="0.3">
      <c r="A33" s="92"/>
      <c r="B33" s="92"/>
      <c r="C33" s="31" t="s">
        <v>43</v>
      </c>
      <c r="D33" s="60">
        <v>555.79999999999995</v>
      </c>
      <c r="E33" s="60">
        <v>638</v>
      </c>
      <c r="F33" s="28">
        <v>574.98400000000004</v>
      </c>
      <c r="G33" s="28">
        <v>608</v>
      </c>
      <c r="H33" s="28">
        <f>'приложение 2'!I45</f>
        <v>607</v>
      </c>
      <c r="I33" s="28">
        <f>'приложение 2'!J45</f>
        <v>607</v>
      </c>
    </row>
    <row r="34" spans="1:9" ht="27.75" customHeight="1" x14ac:dyDescent="0.3">
      <c r="A34" s="92"/>
      <c r="B34" s="92"/>
      <c r="C34" s="32" t="s">
        <v>45</v>
      </c>
      <c r="D34" s="60"/>
      <c r="E34" s="60"/>
      <c r="F34" s="28"/>
      <c r="G34" s="60"/>
      <c r="H34" s="60"/>
      <c r="I34" s="60"/>
    </row>
    <row r="35" spans="1:9" ht="23.25" customHeight="1" x14ac:dyDescent="0.3">
      <c r="A35" s="95" t="s">
        <v>17</v>
      </c>
      <c r="B35" s="88" t="s">
        <v>37</v>
      </c>
      <c r="C35" s="29" t="s">
        <v>40</v>
      </c>
      <c r="D35" s="42">
        <f t="shared" ref="D35:I35" si="9">D36+D37+D38+D39</f>
        <v>58236.697</v>
      </c>
      <c r="E35" s="42">
        <f t="shared" si="9"/>
        <v>86073.540999999997</v>
      </c>
      <c r="F35" s="42">
        <f t="shared" si="9"/>
        <v>66352.946120000008</v>
      </c>
      <c r="G35" s="42">
        <f t="shared" si="9"/>
        <v>57648.648000000001</v>
      </c>
      <c r="H35" s="42">
        <f t="shared" si="9"/>
        <v>32744.046000000002</v>
      </c>
      <c r="I35" s="42">
        <f t="shared" si="9"/>
        <v>35694.945</v>
      </c>
    </row>
    <row r="36" spans="1:9" ht="22.5" customHeight="1" x14ac:dyDescent="0.3">
      <c r="A36" s="95"/>
      <c r="B36" s="89"/>
      <c r="C36" s="30" t="s">
        <v>41</v>
      </c>
      <c r="D36" s="28"/>
      <c r="E36" s="28">
        <v>1573.7670000000001</v>
      </c>
      <c r="F36" s="28">
        <v>6428.2169999999996</v>
      </c>
      <c r="G36" s="28">
        <f>2003.12+4000+1615+526.9</f>
        <v>8145.0199999999995</v>
      </c>
      <c r="H36" s="28">
        <f>2591.4+2028+5347</f>
        <v>9966.4</v>
      </c>
      <c r="I36" s="28">
        <f>2504.4+1960+7987</f>
        <v>12451.4</v>
      </c>
    </row>
    <row r="37" spans="1:9" ht="22.5" customHeight="1" x14ac:dyDescent="0.3">
      <c r="A37" s="95"/>
      <c r="B37" s="89"/>
      <c r="C37" s="31" t="s">
        <v>42</v>
      </c>
      <c r="D37" s="28">
        <f>100+1150+375+400+25+50</f>
        <v>2100</v>
      </c>
      <c r="E37" s="28">
        <v>19479.593000000001</v>
      </c>
      <c r="F37" s="28">
        <v>11287.20219</v>
      </c>
      <c r="G37" s="28">
        <f>284.553+706.205+900+92.99</f>
        <v>1983.748</v>
      </c>
      <c r="H37" s="28">
        <f>943.646+100</f>
        <v>1043.646</v>
      </c>
      <c r="I37" s="28">
        <f>100+1409.545</f>
        <v>1509.5450000000001</v>
      </c>
    </row>
    <row r="38" spans="1:9" ht="22.5" customHeight="1" x14ac:dyDescent="0.3">
      <c r="A38" s="95"/>
      <c r="B38" s="89"/>
      <c r="C38" s="31" t="s">
        <v>43</v>
      </c>
      <c r="D38" s="28">
        <f>55336.608+0.089</f>
        <v>55336.697</v>
      </c>
      <c r="E38" s="28">
        <v>64170.180999999997</v>
      </c>
      <c r="F38" s="28">
        <v>47737.52693</v>
      </c>
      <c r="G38" s="28">
        <f>65349.948-G37-G36-0.2-7701.1</f>
        <v>47519.880000000005</v>
      </c>
      <c r="H38" s="28">
        <f>41571.646-H36-H37-8827.6</f>
        <v>21734</v>
      </c>
      <c r="I38" s="28">
        <f>44522.545-I36-I37-8827.6</f>
        <v>21734</v>
      </c>
    </row>
    <row r="39" spans="1:9" ht="35.25" customHeight="1" x14ac:dyDescent="0.3">
      <c r="A39" s="95"/>
      <c r="B39" s="89"/>
      <c r="C39" s="32" t="s">
        <v>45</v>
      </c>
      <c r="D39" s="28">
        <v>800</v>
      </c>
      <c r="E39" s="28">
        <v>850</v>
      </c>
      <c r="F39" s="28">
        <v>900</v>
      </c>
      <c r="G39" s="28"/>
      <c r="H39" s="28"/>
      <c r="I39" s="28"/>
    </row>
    <row r="40" spans="1:9" ht="21" customHeight="1" x14ac:dyDescent="0.3">
      <c r="A40" s="96" t="s">
        <v>18</v>
      </c>
      <c r="B40" s="92" t="s">
        <v>19</v>
      </c>
      <c r="C40" s="29" t="s">
        <v>40</v>
      </c>
      <c r="D40" s="61">
        <f t="shared" ref="D40:I40" si="10">D41+D42+D43+D44</f>
        <v>931.71519999999998</v>
      </c>
      <c r="E40" s="61">
        <f t="shared" si="10"/>
        <v>1399.375</v>
      </c>
      <c r="F40" s="61">
        <f t="shared" si="10"/>
        <v>1086.8510000000001</v>
      </c>
      <c r="G40" s="61">
        <f t="shared" si="10"/>
        <v>360</v>
      </c>
      <c r="H40" s="61">
        <f t="shared" si="10"/>
        <v>1480.3</v>
      </c>
      <c r="I40" s="61">
        <f t="shared" si="10"/>
        <v>1481.5</v>
      </c>
    </row>
    <row r="41" spans="1:9" ht="30" customHeight="1" x14ac:dyDescent="0.3">
      <c r="A41" s="96"/>
      <c r="B41" s="92"/>
      <c r="C41" s="30" t="s">
        <v>41</v>
      </c>
      <c r="D41" s="60"/>
      <c r="E41" s="60"/>
      <c r="F41" s="45"/>
      <c r="G41" s="60"/>
      <c r="H41" s="60"/>
      <c r="I41" s="60"/>
    </row>
    <row r="42" spans="1:9" ht="21" customHeight="1" x14ac:dyDescent="0.3">
      <c r="A42" s="96"/>
      <c r="B42" s="92"/>
      <c r="C42" s="31" t="s">
        <v>42</v>
      </c>
      <c r="D42" s="45">
        <v>685.1</v>
      </c>
      <c r="E42" s="45">
        <v>982.7</v>
      </c>
      <c r="F42" s="45">
        <v>761.851</v>
      </c>
      <c r="G42" s="45">
        <v>20</v>
      </c>
      <c r="H42" s="45">
        <f>1119.5+20.8</f>
        <v>1140.3</v>
      </c>
      <c r="I42" s="45">
        <f>1119.5+22</f>
        <v>1141.5</v>
      </c>
    </row>
    <row r="43" spans="1:9" ht="21" customHeight="1" x14ac:dyDescent="0.3">
      <c r="A43" s="96"/>
      <c r="B43" s="92"/>
      <c r="C43" s="31" t="s">
        <v>43</v>
      </c>
      <c r="D43" s="62">
        <v>246.61519999999999</v>
      </c>
      <c r="E43" s="62">
        <v>416.67500000000001</v>
      </c>
      <c r="F43" s="62">
        <v>325</v>
      </c>
      <c r="G43" s="62">
        <v>340</v>
      </c>
      <c r="H43" s="62">
        <v>340</v>
      </c>
      <c r="I43" s="62">
        <v>340</v>
      </c>
    </row>
    <row r="44" spans="1:9" ht="27" customHeight="1" x14ac:dyDescent="0.3">
      <c r="A44" s="96"/>
      <c r="B44" s="92"/>
      <c r="C44" s="32" t="s">
        <v>45</v>
      </c>
      <c r="D44" s="45"/>
      <c r="E44" s="45"/>
      <c r="F44" s="45"/>
      <c r="G44" s="45"/>
      <c r="H44" s="45"/>
      <c r="I44" s="45"/>
    </row>
    <row r="45" spans="1:9" x14ac:dyDescent="0.3">
      <c r="A45" s="92" t="s">
        <v>10</v>
      </c>
      <c r="B45" s="92" t="s">
        <v>61</v>
      </c>
      <c r="C45" s="29" t="s">
        <v>40</v>
      </c>
      <c r="D45" s="33">
        <f t="shared" ref="D45:I45" si="11">D46+D47+D48+D49</f>
        <v>14165.527999999998</v>
      </c>
      <c r="E45" s="33">
        <f t="shared" si="11"/>
        <v>17423.23732</v>
      </c>
      <c r="F45" s="33">
        <f t="shared" si="11"/>
        <v>14925.683780000001</v>
      </c>
      <c r="G45" s="33">
        <f t="shared" si="11"/>
        <v>14508</v>
      </c>
      <c r="H45" s="33">
        <f t="shared" si="11"/>
        <v>14508</v>
      </c>
      <c r="I45" s="33">
        <f t="shared" si="11"/>
        <v>14508</v>
      </c>
    </row>
    <row r="46" spans="1:9" ht="26.4" x14ac:dyDescent="0.3">
      <c r="A46" s="92"/>
      <c r="B46" s="92"/>
      <c r="C46" s="30" t="s">
        <v>41</v>
      </c>
      <c r="D46" s="28">
        <f t="shared" ref="D46:E49" si="12">D51</f>
        <v>0</v>
      </c>
      <c r="E46" s="28">
        <f t="shared" si="12"/>
        <v>0</v>
      </c>
      <c r="F46" s="28">
        <f t="shared" ref="F46:I49" si="13">F51</f>
        <v>223.83199999999999</v>
      </c>
      <c r="G46" s="28">
        <f t="shared" si="13"/>
        <v>0</v>
      </c>
      <c r="H46" s="28">
        <f t="shared" ref="H46:I46" si="14">H51</f>
        <v>0</v>
      </c>
      <c r="I46" s="28">
        <f t="shared" si="14"/>
        <v>0</v>
      </c>
    </row>
    <row r="47" spans="1:9" x14ac:dyDescent="0.3">
      <c r="A47" s="92"/>
      <c r="B47" s="92"/>
      <c r="C47" s="31" t="s">
        <v>42</v>
      </c>
      <c r="D47" s="28">
        <f t="shared" si="12"/>
        <v>666.40700000000004</v>
      </c>
      <c r="E47" s="28">
        <f t="shared" si="12"/>
        <v>1605.31852</v>
      </c>
      <c r="F47" s="28">
        <f>F52</f>
        <v>715.61584000000005</v>
      </c>
      <c r="G47" s="28">
        <f t="shared" si="13"/>
        <v>0</v>
      </c>
      <c r="H47" s="28">
        <f t="shared" ref="H47" si="15">H52</f>
        <v>0</v>
      </c>
      <c r="I47" s="28">
        <f t="shared" ref="I47" si="16">I52</f>
        <v>0</v>
      </c>
    </row>
    <row r="48" spans="1:9" x14ac:dyDescent="0.3">
      <c r="A48" s="53"/>
      <c r="B48" s="53"/>
      <c r="C48" s="31" t="s">
        <v>43</v>
      </c>
      <c r="D48" s="28">
        <f t="shared" si="12"/>
        <v>13389.120999999999</v>
      </c>
      <c r="E48" s="28">
        <f t="shared" si="12"/>
        <v>15707.918799999999</v>
      </c>
      <c r="F48" s="28">
        <f>F53</f>
        <v>13876.23594</v>
      </c>
      <c r="G48" s="28">
        <f t="shared" si="13"/>
        <v>14508</v>
      </c>
      <c r="H48" s="28">
        <f t="shared" ref="H48:I48" si="17">H53</f>
        <v>14508</v>
      </c>
      <c r="I48" s="28">
        <f t="shared" si="17"/>
        <v>14508</v>
      </c>
    </row>
    <row r="49" spans="1:9" ht="26.4" x14ac:dyDescent="0.3">
      <c r="A49" s="53"/>
      <c r="B49" s="53"/>
      <c r="C49" s="32" t="s">
        <v>45</v>
      </c>
      <c r="D49" s="28">
        <f t="shared" si="12"/>
        <v>110</v>
      </c>
      <c r="E49" s="28">
        <f t="shared" si="12"/>
        <v>110</v>
      </c>
      <c r="F49" s="28">
        <f t="shared" si="13"/>
        <v>110</v>
      </c>
      <c r="G49" s="28">
        <f t="shared" si="13"/>
        <v>0</v>
      </c>
      <c r="H49" s="28">
        <f t="shared" ref="H49" si="18">H54</f>
        <v>0</v>
      </c>
      <c r="I49" s="28">
        <f t="shared" si="13"/>
        <v>0</v>
      </c>
    </row>
    <row r="50" spans="1:9" ht="32.25" customHeight="1" x14ac:dyDescent="0.3">
      <c r="A50" s="88" t="s">
        <v>21</v>
      </c>
      <c r="B50" s="88" t="s">
        <v>177</v>
      </c>
      <c r="C50" s="29" t="s">
        <v>40</v>
      </c>
      <c r="D50" s="28">
        <f t="shared" ref="D50:I50" si="19">D51+D52+D53+D54</f>
        <v>14165.527999999998</v>
      </c>
      <c r="E50" s="28">
        <f t="shared" si="19"/>
        <v>17423.23732</v>
      </c>
      <c r="F50" s="28">
        <f t="shared" si="19"/>
        <v>14925.683780000001</v>
      </c>
      <c r="G50" s="28">
        <f t="shared" si="19"/>
        <v>14508</v>
      </c>
      <c r="H50" s="28">
        <f t="shared" si="19"/>
        <v>14508</v>
      </c>
      <c r="I50" s="28">
        <f t="shared" si="19"/>
        <v>14508</v>
      </c>
    </row>
    <row r="51" spans="1:9" ht="30" customHeight="1" x14ac:dyDescent="0.3">
      <c r="A51" s="97"/>
      <c r="B51" s="89"/>
      <c r="C51" s="30" t="s">
        <v>41</v>
      </c>
      <c r="D51" s="60"/>
      <c r="E51" s="60"/>
      <c r="F51" s="28">
        <v>223.83199999999999</v>
      </c>
      <c r="G51" s="60"/>
      <c r="H51" s="60"/>
      <c r="I51" s="60"/>
    </row>
    <row r="52" spans="1:9" ht="30" customHeight="1" x14ac:dyDescent="0.3">
      <c r="A52" s="97"/>
      <c r="B52" s="89"/>
      <c r="C52" s="31" t="s">
        <v>42</v>
      </c>
      <c r="D52" s="60">
        <f>626.407+40</f>
        <v>666.40700000000004</v>
      </c>
      <c r="E52" s="28">
        <v>1605.31852</v>
      </c>
      <c r="F52" s="28">
        <v>715.61584000000005</v>
      </c>
      <c r="G52" s="60"/>
      <c r="H52" s="60"/>
      <c r="I52" s="60"/>
    </row>
    <row r="53" spans="1:9" ht="36.75" customHeight="1" x14ac:dyDescent="0.3">
      <c r="A53" s="97"/>
      <c r="B53" s="89"/>
      <c r="C53" s="31" t="s">
        <v>43</v>
      </c>
      <c r="D53" s="60">
        <f>13499.121-110</f>
        <v>13389.120999999999</v>
      </c>
      <c r="E53" s="28">
        <v>15707.918799999999</v>
      </c>
      <c r="F53" s="28">
        <v>13876.23594</v>
      </c>
      <c r="G53" s="28">
        <v>14508</v>
      </c>
      <c r="H53" s="28">
        <f>4469+1343+8690+6</f>
        <v>14508</v>
      </c>
      <c r="I53" s="28">
        <v>14508</v>
      </c>
    </row>
    <row r="54" spans="1:9" ht="29.25" customHeight="1" x14ac:dyDescent="0.3">
      <c r="A54" s="97"/>
      <c r="B54" s="89"/>
      <c r="C54" s="32" t="s">
        <v>45</v>
      </c>
      <c r="D54" s="28">
        <v>110</v>
      </c>
      <c r="E54" s="28">
        <v>110</v>
      </c>
      <c r="F54" s="28">
        <v>110</v>
      </c>
      <c r="G54" s="28"/>
      <c r="H54" s="28"/>
      <c r="I54" s="28"/>
    </row>
    <row r="55" spans="1:9" ht="21.75" customHeight="1" x14ac:dyDescent="0.3">
      <c r="A55" s="88" t="s">
        <v>14</v>
      </c>
      <c r="B55" s="88" t="s">
        <v>38</v>
      </c>
      <c r="C55" s="29" t="s">
        <v>40</v>
      </c>
      <c r="D55" s="63">
        <f t="shared" ref="D55:I55" si="20">D56+D57+D58+D59</f>
        <v>393.38479999999998</v>
      </c>
      <c r="E55" s="63">
        <f t="shared" si="20"/>
        <v>390.3</v>
      </c>
      <c r="F55" s="63">
        <f t="shared" si="20"/>
        <v>255</v>
      </c>
      <c r="G55" s="63">
        <f t="shared" si="20"/>
        <v>455</v>
      </c>
      <c r="H55" s="63">
        <f t="shared" si="20"/>
        <v>455</v>
      </c>
      <c r="I55" s="63">
        <f t="shared" si="20"/>
        <v>455</v>
      </c>
    </row>
    <row r="56" spans="1:9" ht="18.75" customHeight="1" x14ac:dyDescent="0.3">
      <c r="A56" s="89"/>
      <c r="B56" s="89"/>
      <c r="C56" s="30" t="s">
        <v>41</v>
      </c>
      <c r="D56" s="45">
        <f t="shared" ref="D56:I56" si="21">D61</f>
        <v>0</v>
      </c>
      <c r="E56" s="45">
        <f t="shared" si="21"/>
        <v>0</v>
      </c>
      <c r="F56" s="45">
        <f t="shared" si="21"/>
        <v>0</v>
      </c>
      <c r="G56" s="45">
        <f t="shared" si="21"/>
        <v>0</v>
      </c>
      <c r="H56" s="45">
        <f t="shared" si="21"/>
        <v>0</v>
      </c>
      <c r="I56" s="45">
        <f t="shared" si="21"/>
        <v>0</v>
      </c>
    </row>
    <row r="57" spans="1:9" ht="19.5" customHeight="1" x14ac:dyDescent="0.3">
      <c r="A57" s="89"/>
      <c r="B57" s="89"/>
      <c r="C57" s="31" t="s">
        <v>42</v>
      </c>
      <c r="D57" s="45">
        <f>D62</f>
        <v>0</v>
      </c>
      <c r="E57" s="45"/>
      <c r="F57" s="45">
        <f t="shared" ref="F57:I59" si="22">F62</f>
        <v>0</v>
      </c>
      <c r="G57" s="45">
        <f t="shared" si="22"/>
        <v>0</v>
      </c>
      <c r="H57" s="45">
        <f t="shared" si="22"/>
        <v>0</v>
      </c>
      <c r="I57" s="45">
        <f t="shared" si="22"/>
        <v>0</v>
      </c>
    </row>
    <row r="58" spans="1:9" ht="16.5" customHeight="1" x14ac:dyDescent="0.3">
      <c r="A58" s="89"/>
      <c r="B58" s="89"/>
      <c r="C58" s="31" t="s">
        <v>43</v>
      </c>
      <c r="D58" s="45">
        <f>D63</f>
        <v>393.38479999999998</v>
      </c>
      <c r="E58" s="45">
        <f>E60</f>
        <v>390.3</v>
      </c>
      <c r="F58" s="45">
        <f t="shared" si="22"/>
        <v>255</v>
      </c>
      <c r="G58" s="45">
        <f t="shared" si="22"/>
        <v>455</v>
      </c>
      <c r="H58" s="45">
        <f t="shared" si="22"/>
        <v>455</v>
      </c>
      <c r="I58" s="45">
        <f t="shared" si="22"/>
        <v>455</v>
      </c>
    </row>
    <row r="59" spans="1:9" ht="31.5" customHeight="1" x14ac:dyDescent="0.3">
      <c r="A59" s="91"/>
      <c r="B59" s="91"/>
      <c r="C59" s="32" t="s">
        <v>45</v>
      </c>
      <c r="D59" s="45">
        <f>D64</f>
        <v>0</v>
      </c>
      <c r="E59" s="45">
        <f>E64</f>
        <v>0</v>
      </c>
      <c r="F59" s="45">
        <f t="shared" si="22"/>
        <v>0</v>
      </c>
      <c r="G59" s="45">
        <f t="shared" si="22"/>
        <v>0</v>
      </c>
      <c r="H59" s="45">
        <f t="shared" si="22"/>
        <v>0</v>
      </c>
      <c r="I59" s="45">
        <f t="shared" si="22"/>
        <v>0</v>
      </c>
    </row>
    <row r="60" spans="1:9" ht="19.5" customHeight="1" x14ac:dyDescent="0.3">
      <c r="A60" s="93" t="s">
        <v>25</v>
      </c>
      <c r="B60" s="88" t="s">
        <v>13</v>
      </c>
      <c r="C60" s="29" t="s">
        <v>40</v>
      </c>
      <c r="D60" s="45">
        <f t="shared" ref="D60:I60" si="23">D61+D62+D63+D64</f>
        <v>393.38479999999998</v>
      </c>
      <c r="E60" s="45">
        <f t="shared" si="23"/>
        <v>390.3</v>
      </c>
      <c r="F60" s="45">
        <f t="shared" si="23"/>
        <v>255</v>
      </c>
      <c r="G60" s="45">
        <f t="shared" si="23"/>
        <v>455</v>
      </c>
      <c r="H60" s="45">
        <f t="shared" si="23"/>
        <v>455</v>
      </c>
      <c r="I60" s="45">
        <f t="shared" si="23"/>
        <v>455</v>
      </c>
    </row>
    <row r="61" spans="1:9" ht="26.25" customHeight="1" x14ac:dyDescent="0.3">
      <c r="A61" s="94"/>
      <c r="B61" s="89"/>
      <c r="C61" s="30" t="s">
        <v>41</v>
      </c>
      <c r="D61" s="60"/>
      <c r="E61" s="60"/>
      <c r="F61" s="45"/>
      <c r="G61" s="60"/>
      <c r="H61" s="60"/>
      <c r="I61" s="60"/>
    </row>
    <row r="62" spans="1:9" ht="19.5" customHeight="1" x14ac:dyDescent="0.3">
      <c r="A62" s="94"/>
      <c r="B62" s="89"/>
      <c r="C62" s="31" t="s">
        <v>42</v>
      </c>
      <c r="D62" s="60"/>
      <c r="E62" s="60"/>
      <c r="F62" s="59"/>
      <c r="G62" s="60"/>
      <c r="H62" s="60"/>
      <c r="I62" s="60"/>
    </row>
    <row r="63" spans="1:9" ht="19.5" customHeight="1" x14ac:dyDescent="0.3">
      <c r="A63" s="94"/>
      <c r="B63" s="89"/>
      <c r="C63" s="31" t="s">
        <v>43</v>
      </c>
      <c r="D63" s="45">
        <v>393.38479999999998</v>
      </c>
      <c r="E63" s="45">
        <v>390.3</v>
      </c>
      <c r="F63" s="45">
        <v>255</v>
      </c>
      <c r="G63" s="45">
        <v>455</v>
      </c>
      <c r="H63" s="45">
        <v>455</v>
      </c>
      <c r="I63" s="45">
        <v>455</v>
      </c>
    </row>
    <row r="64" spans="1:9" ht="25.5" customHeight="1" x14ac:dyDescent="0.3">
      <c r="A64" s="94"/>
      <c r="B64" s="89"/>
      <c r="C64" s="32" t="s">
        <v>45</v>
      </c>
      <c r="D64" s="60"/>
      <c r="E64" s="60"/>
      <c r="F64" s="59"/>
      <c r="G64" s="60"/>
      <c r="H64" s="60"/>
      <c r="I64" s="60"/>
    </row>
    <row r="65" spans="1:9" x14ac:dyDescent="0.3">
      <c r="A65" s="92" t="s">
        <v>35</v>
      </c>
      <c r="B65" s="88" t="s">
        <v>36</v>
      </c>
      <c r="C65" s="29" t="s">
        <v>40</v>
      </c>
      <c r="D65" s="33">
        <f t="shared" ref="D65:I65" si="24">D66+D67+D68+D69</f>
        <v>24255.5</v>
      </c>
      <c r="E65" s="33">
        <f t="shared" si="24"/>
        <v>26851.38263</v>
      </c>
      <c r="F65" s="33">
        <f t="shared" si="24"/>
        <v>21319.200000000001</v>
      </c>
      <c r="G65" s="33">
        <f t="shared" si="24"/>
        <v>33416.199999999997</v>
      </c>
      <c r="H65" s="33">
        <f t="shared" si="24"/>
        <v>34986.699999999997</v>
      </c>
      <c r="I65" s="33">
        <f t="shared" si="24"/>
        <v>35711.399999999994</v>
      </c>
    </row>
    <row r="66" spans="1:9" ht="26.4" x14ac:dyDescent="0.3">
      <c r="A66" s="92"/>
      <c r="B66" s="89"/>
      <c r="C66" s="30" t="s">
        <v>41</v>
      </c>
      <c r="D66" s="28">
        <f>D71+D76+D81+D86+D91+D96+D101+D106</f>
        <v>365.9</v>
      </c>
      <c r="E66" s="28">
        <f t="shared" ref="E66:I69" si="25">E71+E76+E81+E86+E91+E96+E101+E106</f>
        <v>1051.4000000000001</v>
      </c>
      <c r="F66" s="28">
        <v>341.5</v>
      </c>
      <c r="G66" s="28">
        <f t="shared" si="25"/>
        <v>454.7</v>
      </c>
      <c r="H66" s="28">
        <f t="shared" si="25"/>
        <v>472.8</v>
      </c>
      <c r="I66" s="28">
        <f t="shared" si="25"/>
        <v>511.8</v>
      </c>
    </row>
    <row r="67" spans="1:9" x14ac:dyDescent="0.3">
      <c r="A67" s="92"/>
      <c r="B67" s="89"/>
      <c r="C67" s="31" t="s">
        <v>42</v>
      </c>
      <c r="D67" s="28">
        <f>D72+D77+D82+D87+D92+D97+D102+D107</f>
        <v>15755.6</v>
      </c>
      <c r="E67" s="28">
        <f t="shared" si="25"/>
        <v>15443.616629999999</v>
      </c>
      <c r="F67" s="28">
        <f t="shared" si="25"/>
        <v>11852.27562</v>
      </c>
      <c r="G67" s="28">
        <f t="shared" si="25"/>
        <v>23144.5</v>
      </c>
      <c r="H67" s="28">
        <f t="shared" si="25"/>
        <v>24696.9</v>
      </c>
      <c r="I67" s="28">
        <f t="shared" si="25"/>
        <v>25382.6</v>
      </c>
    </row>
    <row r="68" spans="1:9" x14ac:dyDescent="0.3">
      <c r="A68" s="92"/>
      <c r="B68" s="89"/>
      <c r="C68" s="31" t="s">
        <v>43</v>
      </c>
      <c r="D68" s="28">
        <f>D73+D78+D83+D88+D93+D98+D103+D108</f>
        <v>8134</v>
      </c>
      <c r="E68" s="28">
        <f t="shared" si="25"/>
        <v>10356.366</v>
      </c>
      <c r="F68" s="28">
        <f t="shared" si="25"/>
        <v>9125.4243800000004</v>
      </c>
      <c r="G68" s="28">
        <f t="shared" si="25"/>
        <v>9817</v>
      </c>
      <c r="H68" s="28">
        <f t="shared" si="25"/>
        <v>9817</v>
      </c>
      <c r="I68" s="28">
        <f t="shared" si="25"/>
        <v>9817</v>
      </c>
    </row>
    <row r="69" spans="1:9" ht="26.4" x14ac:dyDescent="0.3">
      <c r="A69" s="92"/>
      <c r="B69" s="98"/>
      <c r="C69" s="32" t="s">
        <v>45</v>
      </c>
      <c r="D69" s="28">
        <f>D74+D79+D84+D89+D94+D99+D104+D109</f>
        <v>0</v>
      </c>
      <c r="E69" s="28">
        <f t="shared" si="25"/>
        <v>0</v>
      </c>
      <c r="F69" s="28">
        <f t="shared" si="25"/>
        <v>0</v>
      </c>
      <c r="G69" s="28">
        <f t="shared" si="25"/>
        <v>0</v>
      </c>
      <c r="H69" s="28">
        <f t="shared" si="25"/>
        <v>0</v>
      </c>
      <c r="I69" s="28">
        <f t="shared" si="25"/>
        <v>0</v>
      </c>
    </row>
    <row r="70" spans="1:9" ht="15" customHeight="1" x14ac:dyDescent="0.3">
      <c r="A70" s="88" t="s">
        <v>22</v>
      </c>
      <c r="B70" s="99" t="s">
        <v>216</v>
      </c>
      <c r="C70" s="29" t="s">
        <v>40</v>
      </c>
      <c r="D70" s="28">
        <f t="shared" ref="D70:I70" si="26">D71+D72+D73+D74</f>
        <v>9310.2000000000007</v>
      </c>
      <c r="E70" s="28">
        <f t="shared" si="26"/>
        <v>10480.88191</v>
      </c>
      <c r="F70" s="28">
        <f t="shared" si="26"/>
        <v>7566.7242000000006</v>
      </c>
      <c r="G70" s="28">
        <f t="shared" si="26"/>
        <v>7918</v>
      </c>
      <c r="H70" s="28">
        <f t="shared" si="26"/>
        <v>7918</v>
      </c>
      <c r="I70" s="28">
        <f t="shared" si="26"/>
        <v>7918</v>
      </c>
    </row>
    <row r="71" spans="1:9" ht="26.4" x14ac:dyDescent="0.3">
      <c r="A71" s="89"/>
      <c r="B71" s="100"/>
      <c r="C71" s="30" t="s">
        <v>41</v>
      </c>
      <c r="D71" s="28"/>
      <c r="E71" s="28"/>
      <c r="F71" s="28"/>
      <c r="G71" s="28"/>
      <c r="H71" s="28"/>
      <c r="I71" s="28"/>
    </row>
    <row r="72" spans="1:9" ht="20.25" customHeight="1" x14ac:dyDescent="0.3">
      <c r="A72" s="89"/>
      <c r="B72" s="100"/>
      <c r="C72" s="31" t="s">
        <v>42</v>
      </c>
      <c r="D72" s="28">
        <v>2692.2</v>
      </c>
      <c r="E72" s="28">
        <v>1794.5159100000001</v>
      </c>
      <c r="F72" s="28">
        <v>175.29982000000001</v>
      </c>
      <c r="G72" s="28"/>
      <c r="H72" s="28"/>
      <c r="I72" s="28"/>
    </row>
    <row r="73" spans="1:9" ht="20.25" customHeight="1" x14ac:dyDescent="0.3">
      <c r="A73" s="90"/>
      <c r="B73" s="101"/>
      <c r="C73" s="31" t="s">
        <v>43</v>
      </c>
      <c r="D73" s="28">
        <f>8134-1516</f>
        <v>6618</v>
      </c>
      <c r="E73" s="28">
        <v>8686.366</v>
      </c>
      <c r="F73" s="28">
        <v>7391.4243800000004</v>
      </c>
      <c r="G73" s="28">
        <v>7918</v>
      </c>
      <c r="H73" s="28">
        <v>7918</v>
      </c>
      <c r="I73" s="28">
        <v>7918</v>
      </c>
    </row>
    <row r="74" spans="1:9" ht="27" customHeight="1" x14ac:dyDescent="0.3">
      <c r="A74" s="90"/>
      <c r="B74" s="101"/>
      <c r="C74" s="32" t="s">
        <v>45</v>
      </c>
      <c r="D74" s="28"/>
      <c r="E74" s="28"/>
      <c r="F74" s="28"/>
      <c r="G74" s="28"/>
      <c r="H74" s="28"/>
      <c r="I74" s="28"/>
    </row>
    <row r="75" spans="1:9" ht="15" customHeight="1" x14ac:dyDescent="0.3">
      <c r="A75" s="102" t="s">
        <v>23</v>
      </c>
      <c r="B75" s="99" t="s">
        <v>217</v>
      </c>
      <c r="C75" s="29" t="s">
        <v>40</v>
      </c>
      <c r="D75" s="33">
        <f t="shared" ref="D75:I75" si="27">D76+D77+D78+D79</f>
        <v>1516</v>
      </c>
      <c r="E75" s="33">
        <f t="shared" si="27"/>
        <v>1670</v>
      </c>
      <c r="F75" s="33">
        <f>F77+F78</f>
        <v>1780.5758000000001</v>
      </c>
      <c r="G75" s="33">
        <f t="shared" si="27"/>
        <v>1899</v>
      </c>
      <c r="H75" s="33">
        <f t="shared" si="27"/>
        <v>1899</v>
      </c>
      <c r="I75" s="33">
        <f t="shared" si="27"/>
        <v>1899</v>
      </c>
    </row>
    <row r="76" spans="1:9" ht="26.4" x14ac:dyDescent="0.3">
      <c r="A76" s="103"/>
      <c r="B76" s="100"/>
      <c r="C76" s="30" t="s">
        <v>41</v>
      </c>
      <c r="D76" s="64"/>
      <c r="E76" s="64"/>
      <c r="F76" s="43"/>
      <c r="G76" s="64"/>
      <c r="H76" s="64"/>
      <c r="I76" s="64"/>
    </row>
    <row r="77" spans="1:9" ht="16.5" customHeight="1" x14ac:dyDescent="0.3">
      <c r="A77" s="103"/>
      <c r="B77" s="100"/>
      <c r="C77" s="31" t="s">
        <v>42</v>
      </c>
      <c r="D77" s="44"/>
      <c r="E77" s="44"/>
      <c r="F77" s="44">
        <v>46.575800000000001</v>
      </c>
      <c r="G77" s="44"/>
      <c r="H77" s="44"/>
      <c r="I77" s="44"/>
    </row>
    <row r="78" spans="1:9" ht="21" customHeight="1" x14ac:dyDescent="0.3">
      <c r="A78" s="90"/>
      <c r="B78" s="101"/>
      <c r="C78" s="31" t="s">
        <v>43</v>
      </c>
      <c r="D78" s="45">
        <f>1091.8+424.2</f>
        <v>1516</v>
      </c>
      <c r="E78" s="45">
        <f>1294+376</f>
        <v>1670</v>
      </c>
      <c r="F78" s="45">
        <v>1734</v>
      </c>
      <c r="G78" s="45">
        <v>1899</v>
      </c>
      <c r="H78" s="45">
        <v>1899</v>
      </c>
      <c r="I78" s="45">
        <v>1899</v>
      </c>
    </row>
    <row r="79" spans="1:9" ht="29.25" customHeight="1" x14ac:dyDescent="0.3">
      <c r="A79" s="90"/>
      <c r="B79" s="101"/>
      <c r="C79" s="32" t="s">
        <v>45</v>
      </c>
      <c r="D79" s="45"/>
      <c r="E79" s="45"/>
      <c r="F79" s="45"/>
      <c r="G79" s="45"/>
      <c r="H79" s="45"/>
      <c r="I79" s="45"/>
    </row>
    <row r="80" spans="1:9" ht="23.25" customHeight="1" x14ac:dyDescent="0.3">
      <c r="A80" s="102" t="s">
        <v>26</v>
      </c>
      <c r="B80" s="104" t="s">
        <v>215</v>
      </c>
      <c r="C80" s="29" t="s">
        <v>40</v>
      </c>
      <c r="D80" s="41">
        <f t="shared" ref="D80:I80" si="28">D81+D82+D83+D84</f>
        <v>792</v>
      </c>
      <c r="E80" s="41">
        <f t="shared" si="28"/>
        <v>791</v>
      </c>
      <c r="F80" s="41">
        <f t="shared" si="28"/>
        <v>830</v>
      </c>
      <c r="G80" s="41">
        <f t="shared" si="28"/>
        <v>830</v>
      </c>
      <c r="H80" s="41">
        <v>851</v>
      </c>
      <c r="I80" s="41">
        <f t="shared" si="28"/>
        <v>918</v>
      </c>
    </row>
    <row r="81" spans="1:9" ht="16.5" customHeight="1" x14ac:dyDescent="0.3">
      <c r="A81" s="90"/>
      <c r="B81" s="90"/>
      <c r="C81" s="30" t="s">
        <v>41</v>
      </c>
      <c r="D81" s="43"/>
      <c r="E81" s="43"/>
      <c r="F81" s="43"/>
      <c r="G81" s="43"/>
      <c r="H81" s="43"/>
      <c r="I81" s="43"/>
    </row>
    <row r="82" spans="1:9" ht="17.25" customHeight="1" x14ac:dyDescent="0.3">
      <c r="A82" s="90"/>
      <c r="B82" s="90"/>
      <c r="C82" s="31" t="s">
        <v>42</v>
      </c>
      <c r="D82" s="44">
        <v>792</v>
      </c>
      <c r="E82" s="44">
        <v>791</v>
      </c>
      <c r="F82" s="44">
        <v>830</v>
      </c>
      <c r="G82" s="44">
        <v>830</v>
      </c>
      <c r="H82" s="44">
        <v>838</v>
      </c>
      <c r="I82" s="44">
        <v>918</v>
      </c>
    </row>
    <row r="83" spans="1:9" ht="16.5" customHeight="1" x14ac:dyDescent="0.3">
      <c r="A83" s="90"/>
      <c r="B83" s="90"/>
      <c r="C83" s="31" t="s">
        <v>43</v>
      </c>
      <c r="D83" s="45"/>
      <c r="E83" s="45"/>
      <c r="F83" s="45"/>
      <c r="G83" s="45"/>
      <c r="H83" s="45"/>
      <c r="I83" s="45"/>
    </row>
    <row r="84" spans="1:9" ht="30.75" customHeight="1" x14ac:dyDescent="0.3">
      <c r="A84" s="90"/>
      <c r="B84" s="90"/>
      <c r="C84" s="32" t="s">
        <v>45</v>
      </c>
      <c r="D84" s="45"/>
      <c r="E84" s="45"/>
      <c r="F84" s="45"/>
      <c r="G84" s="45"/>
      <c r="H84" s="45"/>
      <c r="I84" s="45"/>
    </row>
    <row r="85" spans="1:9" ht="23.25" customHeight="1" x14ac:dyDescent="0.3">
      <c r="A85" s="109" t="s">
        <v>27</v>
      </c>
      <c r="B85" s="111" t="s">
        <v>178</v>
      </c>
      <c r="C85" s="29" t="s">
        <v>40</v>
      </c>
      <c r="D85" s="41">
        <f t="shared" ref="D85:I85" si="29">D87</f>
        <v>3865.5</v>
      </c>
      <c r="E85" s="41">
        <f t="shared" si="29"/>
        <v>4542.375</v>
      </c>
      <c r="F85" s="41">
        <f t="shared" si="29"/>
        <v>2817.8023699999999</v>
      </c>
      <c r="G85" s="41">
        <f t="shared" si="29"/>
        <v>8100</v>
      </c>
      <c r="H85" s="41">
        <f t="shared" si="29"/>
        <v>8053.9</v>
      </c>
      <c r="I85" s="41">
        <f t="shared" si="29"/>
        <v>8259</v>
      </c>
    </row>
    <row r="86" spans="1:9" ht="14.25" customHeight="1" x14ac:dyDescent="0.3">
      <c r="A86" s="109"/>
      <c r="B86" s="111"/>
      <c r="C86" s="30" t="s">
        <v>41</v>
      </c>
      <c r="D86" s="28"/>
      <c r="E86" s="28"/>
      <c r="F86" s="28"/>
      <c r="G86" s="28"/>
      <c r="H86" s="28"/>
      <c r="I86" s="28"/>
    </row>
    <row r="87" spans="1:9" ht="15" customHeight="1" x14ac:dyDescent="0.3">
      <c r="A87" s="109"/>
      <c r="B87" s="111"/>
      <c r="C87" s="31" t="s">
        <v>42</v>
      </c>
      <c r="D87" s="44">
        <v>3865.5</v>
      </c>
      <c r="E87" s="44">
        <v>4542.375</v>
      </c>
      <c r="F87" s="44">
        <f>'приложение 2'!G257</f>
        <v>2817.8023699999999</v>
      </c>
      <c r="G87" s="44">
        <v>8100</v>
      </c>
      <c r="H87" s="44">
        <f>'приложение 2'!I257</f>
        <v>8053.9</v>
      </c>
      <c r="I87" s="44">
        <f>'приложение 2'!J257</f>
        <v>8259</v>
      </c>
    </row>
    <row r="88" spans="1:9" x14ac:dyDescent="0.3">
      <c r="A88" s="110"/>
      <c r="B88" s="110"/>
      <c r="C88" s="31" t="s">
        <v>43</v>
      </c>
      <c r="D88" s="64"/>
      <c r="E88" s="64"/>
      <c r="F88" s="43"/>
      <c r="G88" s="64"/>
      <c r="H88" s="64"/>
      <c r="I88" s="64"/>
    </row>
    <row r="89" spans="1:9" ht="23.25" customHeight="1" x14ac:dyDescent="0.3">
      <c r="A89" s="110"/>
      <c r="B89" s="110"/>
      <c r="C89" s="32" t="s">
        <v>45</v>
      </c>
      <c r="D89" s="44"/>
      <c r="E89" s="44"/>
      <c r="F89" s="44"/>
      <c r="G89" s="44"/>
      <c r="H89" s="44"/>
      <c r="I89" s="44"/>
    </row>
    <row r="90" spans="1:9" x14ac:dyDescent="0.3">
      <c r="A90" s="109" t="s">
        <v>28</v>
      </c>
      <c r="B90" s="111" t="s">
        <v>179</v>
      </c>
      <c r="C90" s="29" t="s">
        <v>40</v>
      </c>
      <c r="D90" s="41">
        <f t="shared" ref="D90:I90" si="30">D92</f>
        <v>4236.8</v>
      </c>
      <c r="E90" s="41">
        <f t="shared" si="30"/>
        <v>4642.6809999999996</v>
      </c>
      <c r="F90" s="41">
        <f t="shared" si="30"/>
        <v>4090.89084</v>
      </c>
      <c r="G90" s="41">
        <f t="shared" si="30"/>
        <v>8100</v>
      </c>
      <c r="H90" s="41">
        <f t="shared" si="30"/>
        <v>8611</v>
      </c>
      <c r="I90" s="41">
        <f t="shared" si="30"/>
        <v>8830.6</v>
      </c>
    </row>
    <row r="91" spans="1:9" ht="26.4" x14ac:dyDescent="0.3">
      <c r="A91" s="109"/>
      <c r="B91" s="111"/>
      <c r="C91" s="30" t="s">
        <v>41</v>
      </c>
      <c r="D91" s="28"/>
      <c r="E91" s="28"/>
      <c r="F91" s="28"/>
      <c r="G91" s="28"/>
      <c r="H91" s="28"/>
      <c r="I91" s="28"/>
    </row>
    <row r="92" spans="1:9" x14ac:dyDescent="0.3">
      <c r="A92" s="109"/>
      <c r="B92" s="111"/>
      <c r="C92" s="31" t="s">
        <v>42</v>
      </c>
      <c r="D92" s="44">
        <v>4236.8</v>
      </c>
      <c r="E92" s="44">
        <v>4642.6809999999996</v>
      </c>
      <c r="F92" s="44">
        <f>'приложение 2'!G260</f>
        <v>4090.89084</v>
      </c>
      <c r="G92" s="44">
        <v>8100</v>
      </c>
      <c r="H92" s="44">
        <f>'приложение 2'!I260</f>
        <v>8611</v>
      </c>
      <c r="I92" s="44">
        <f>'приложение 2'!J260</f>
        <v>8830.6</v>
      </c>
    </row>
    <row r="93" spans="1:9" x14ac:dyDescent="0.3">
      <c r="A93" s="110"/>
      <c r="B93" s="110"/>
      <c r="C93" s="31" t="s">
        <v>43</v>
      </c>
      <c r="D93" s="64"/>
      <c r="E93" s="64"/>
      <c r="F93" s="43"/>
      <c r="G93" s="64"/>
      <c r="H93" s="64"/>
      <c r="I93" s="64"/>
    </row>
    <row r="94" spans="1:9" ht="26.4" x14ac:dyDescent="0.3">
      <c r="A94" s="110"/>
      <c r="B94" s="110"/>
      <c r="C94" s="32" t="s">
        <v>45</v>
      </c>
      <c r="D94" s="44"/>
      <c r="E94" s="44"/>
      <c r="F94" s="44"/>
      <c r="G94" s="44"/>
      <c r="H94" s="44"/>
      <c r="I94" s="44"/>
    </row>
    <row r="95" spans="1:9" x14ac:dyDescent="0.3">
      <c r="A95" s="109" t="s">
        <v>29</v>
      </c>
      <c r="B95" s="111" t="s">
        <v>30</v>
      </c>
      <c r="C95" s="29" t="s">
        <v>40</v>
      </c>
      <c r="D95" s="41">
        <f t="shared" ref="D95:I95" si="31">D96+D97</f>
        <v>365.9</v>
      </c>
      <c r="E95" s="41">
        <f t="shared" si="31"/>
        <v>1051.4000000000001</v>
      </c>
      <c r="F95" s="41">
        <f t="shared" si="31"/>
        <v>341.5</v>
      </c>
      <c r="G95" s="41">
        <f t="shared" si="31"/>
        <v>454.7</v>
      </c>
      <c r="H95" s="41">
        <f t="shared" si="31"/>
        <v>472.8</v>
      </c>
      <c r="I95" s="41">
        <f t="shared" si="31"/>
        <v>511.8</v>
      </c>
    </row>
    <row r="96" spans="1:9" ht="26.4" x14ac:dyDescent="0.3">
      <c r="A96" s="109"/>
      <c r="B96" s="111"/>
      <c r="C96" s="30" t="s">
        <v>41</v>
      </c>
      <c r="D96" s="44">
        <v>365.9</v>
      </c>
      <c r="E96" s="44">
        <v>1051.4000000000001</v>
      </c>
      <c r="F96" s="44">
        <v>341.5</v>
      </c>
      <c r="G96" s="44">
        <f>'приложение 2'!H263</f>
        <v>454.7</v>
      </c>
      <c r="H96" s="44">
        <f>'приложение 2'!I263</f>
        <v>472.8</v>
      </c>
      <c r="I96" s="44">
        <f>'приложение 2'!J263</f>
        <v>511.8</v>
      </c>
    </row>
    <row r="97" spans="1:9" x14ac:dyDescent="0.3">
      <c r="A97" s="109"/>
      <c r="B97" s="111"/>
      <c r="C97" s="31" t="s">
        <v>42</v>
      </c>
      <c r="D97" s="28"/>
      <c r="E97" s="28"/>
      <c r="F97" s="28"/>
      <c r="G97" s="28"/>
      <c r="H97" s="28"/>
      <c r="I97" s="28"/>
    </row>
    <row r="98" spans="1:9" x14ac:dyDescent="0.3">
      <c r="A98" s="110"/>
      <c r="B98" s="110"/>
      <c r="C98" s="31" t="s">
        <v>43</v>
      </c>
      <c r="D98" s="64"/>
      <c r="E98" s="64"/>
      <c r="F98" s="43"/>
      <c r="G98" s="64"/>
      <c r="H98" s="64"/>
      <c r="I98" s="64"/>
    </row>
    <row r="99" spans="1:9" ht="26.4" x14ac:dyDescent="0.3">
      <c r="A99" s="110"/>
      <c r="B99" s="110"/>
      <c r="C99" s="32" t="s">
        <v>45</v>
      </c>
      <c r="D99" s="44"/>
      <c r="E99" s="44"/>
      <c r="F99" s="44"/>
      <c r="G99" s="44"/>
      <c r="H99" s="44"/>
      <c r="I99" s="44"/>
    </row>
    <row r="100" spans="1:9" x14ac:dyDescent="0.3">
      <c r="A100" s="109" t="s">
        <v>31</v>
      </c>
      <c r="B100" s="111" t="s">
        <v>178</v>
      </c>
      <c r="C100" s="29" t="s">
        <v>40</v>
      </c>
      <c r="D100" s="41">
        <f t="shared" ref="D100:I100" si="32">D102</f>
        <v>4074</v>
      </c>
      <c r="E100" s="41">
        <f t="shared" si="32"/>
        <v>3614.0447199999999</v>
      </c>
      <c r="F100" s="41">
        <f t="shared" si="32"/>
        <v>3855.2067900000002</v>
      </c>
      <c r="G100" s="41">
        <f t="shared" si="32"/>
        <v>6015.5</v>
      </c>
      <c r="H100" s="41">
        <f t="shared" si="32"/>
        <v>7095</v>
      </c>
      <c r="I100" s="41">
        <f t="shared" si="32"/>
        <v>7276</v>
      </c>
    </row>
    <row r="101" spans="1:9" ht="26.4" x14ac:dyDescent="0.3">
      <c r="A101" s="109"/>
      <c r="B101" s="111"/>
      <c r="C101" s="30" t="s">
        <v>41</v>
      </c>
      <c r="D101" s="28"/>
      <c r="E101" s="28"/>
      <c r="F101" s="28"/>
      <c r="G101" s="28"/>
      <c r="H101" s="28"/>
      <c r="I101" s="28"/>
    </row>
    <row r="102" spans="1:9" x14ac:dyDescent="0.3">
      <c r="A102" s="109"/>
      <c r="B102" s="111"/>
      <c r="C102" s="31" t="s">
        <v>42</v>
      </c>
      <c r="D102" s="44">
        <v>4074</v>
      </c>
      <c r="E102" s="44">
        <v>3614.0447199999999</v>
      </c>
      <c r="F102" s="44">
        <f>'приложение 2'!G266</f>
        <v>3855.2067900000002</v>
      </c>
      <c r="G102" s="44">
        <v>6015.5</v>
      </c>
      <c r="H102" s="44">
        <f>'приложение 2'!I266</f>
        <v>7095</v>
      </c>
      <c r="I102" s="44">
        <f>'приложение 2'!J266</f>
        <v>7276</v>
      </c>
    </row>
    <row r="103" spans="1:9" x14ac:dyDescent="0.3">
      <c r="A103" s="110"/>
      <c r="B103" s="110"/>
      <c r="C103" s="31" t="s">
        <v>43</v>
      </c>
      <c r="D103" s="64"/>
      <c r="E103" s="64"/>
      <c r="F103" s="43"/>
      <c r="G103" s="64"/>
      <c r="H103" s="64"/>
      <c r="I103" s="64"/>
    </row>
    <row r="104" spans="1:9" ht="26.4" x14ac:dyDescent="0.3">
      <c r="A104" s="110"/>
      <c r="B104" s="110"/>
      <c r="C104" s="32" t="s">
        <v>45</v>
      </c>
      <c r="D104" s="44"/>
      <c r="E104" s="44"/>
      <c r="F104" s="44"/>
      <c r="G104" s="44"/>
      <c r="H104" s="44"/>
      <c r="I104" s="44"/>
    </row>
    <row r="105" spans="1:9" x14ac:dyDescent="0.3">
      <c r="A105" s="88" t="s">
        <v>39</v>
      </c>
      <c r="B105" s="105" t="s">
        <v>16</v>
      </c>
      <c r="C105" s="29" t="s">
        <v>40</v>
      </c>
      <c r="D105" s="41">
        <f t="shared" ref="D105:I105" si="33">D107</f>
        <v>95.1</v>
      </c>
      <c r="E105" s="41">
        <f t="shared" si="33"/>
        <v>59</v>
      </c>
      <c r="F105" s="41">
        <f t="shared" si="33"/>
        <v>36.5</v>
      </c>
      <c r="G105" s="41">
        <f t="shared" si="33"/>
        <v>99</v>
      </c>
      <c r="H105" s="41">
        <f t="shared" si="33"/>
        <v>99</v>
      </c>
      <c r="I105" s="41">
        <f t="shared" si="33"/>
        <v>99</v>
      </c>
    </row>
    <row r="106" spans="1:9" ht="26.4" x14ac:dyDescent="0.3">
      <c r="A106" s="89"/>
      <c r="B106" s="106"/>
      <c r="C106" s="30" t="s">
        <v>41</v>
      </c>
      <c r="D106" s="28"/>
      <c r="E106" s="28"/>
      <c r="F106" s="28"/>
      <c r="G106" s="28"/>
      <c r="H106" s="28"/>
      <c r="I106" s="28"/>
    </row>
    <row r="107" spans="1:9" x14ac:dyDescent="0.3">
      <c r="A107" s="89"/>
      <c r="B107" s="106"/>
      <c r="C107" s="31" t="s">
        <v>42</v>
      </c>
      <c r="D107" s="28">
        <v>95.1</v>
      </c>
      <c r="E107" s="28">
        <v>59</v>
      </c>
      <c r="F107" s="28">
        <v>36.5</v>
      </c>
      <c r="G107" s="28">
        <v>99</v>
      </c>
      <c r="H107" s="28">
        <v>99</v>
      </c>
      <c r="I107" s="28">
        <v>99</v>
      </c>
    </row>
    <row r="108" spans="1:9" x14ac:dyDescent="0.3">
      <c r="A108" s="90"/>
      <c r="B108" s="107"/>
      <c r="C108" s="31" t="s">
        <v>43</v>
      </c>
      <c r="D108" s="25"/>
      <c r="E108" s="25"/>
      <c r="F108" s="8"/>
      <c r="G108" s="24"/>
      <c r="H108" s="25"/>
      <c r="I108" s="25"/>
    </row>
    <row r="109" spans="1:9" ht="26.4" x14ac:dyDescent="0.3">
      <c r="A109" s="91"/>
      <c r="B109" s="108"/>
      <c r="C109" s="32" t="s">
        <v>45</v>
      </c>
      <c r="D109" s="8"/>
      <c r="E109" s="8"/>
      <c r="F109" s="8"/>
      <c r="G109" s="8"/>
      <c r="H109" s="8"/>
      <c r="I109" s="8"/>
    </row>
    <row r="110" spans="1:9" ht="15.6" x14ac:dyDescent="0.3">
      <c r="A110" s="3"/>
      <c r="D110" s="3"/>
    </row>
    <row r="111" spans="1:9" ht="15.6" x14ac:dyDescent="0.3">
      <c r="A111" s="46" t="s">
        <v>48</v>
      </c>
      <c r="B111" s="46"/>
      <c r="C111" s="46"/>
      <c r="D111" s="46"/>
      <c r="E111" s="47"/>
      <c r="F111" s="47" t="s">
        <v>54</v>
      </c>
      <c r="G111" s="20"/>
      <c r="H111" s="20"/>
      <c r="I111" s="20"/>
    </row>
    <row r="112" spans="1:9" ht="15.6" x14ac:dyDescent="0.3">
      <c r="A112" s="3"/>
      <c r="D112" s="20"/>
      <c r="E112" s="20"/>
      <c r="F112" s="20"/>
      <c r="G112" s="20"/>
      <c r="H112" s="20"/>
      <c r="I112" s="20"/>
    </row>
    <row r="113" spans="1:5" ht="15.6" x14ac:dyDescent="0.3">
      <c r="A113" s="3"/>
      <c r="D113" s="20"/>
      <c r="E113" s="20"/>
    </row>
    <row r="114" spans="1:5" x14ac:dyDescent="0.3">
      <c r="D114" s="20"/>
    </row>
    <row r="115" spans="1:5" x14ac:dyDescent="0.3">
      <c r="D115" s="20"/>
    </row>
  </sheetData>
  <mergeCells count="46">
    <mergeCell ref="A105:A109"/>
    <mergeCell ref="B105:B109"/>
    <mergeCell ref="A100:A104"/>
    <mergeCell ref="B100:B104"/>
    <mergeCell ref="A85:A89"/>
    <mergeCell ref="B85:B89"/>
    <mergeCell ref="A90:A94"/>
    <mergeCell ref="B90:B94"/>
    <mergeCell ref="A95:A99"/>
    <mergeCell ref="B95:B99"/>
    <mergeCell ref="A70:A74"/>
    <mergeCell ref="B70:B74"/>
    <mergeCell ref="A75:A79"/>
    <mergeCell ref="B75:B79"/>
    <mergeCell ref="A80:A84"/>
    <mergeCell ref="B80:B84"/>
    <mergeCell ref="A55:A59"/>
    <mergeCell ref="B55:B59"/>
    <mergeCell ref="A60:A64"/>
    <mergeCell ref="B60:B64"/>
    <mergeCell ref="A65:A69"/>
    <mergeCell ref="B65:B69"/>
    <mergeCell ref="A40:A44"/>
    <mergeCell ref="B40:B44"/>
    <mergeCell ref="A45:A47"/>
    <mergeCell ref="B45:B47"/>
    <mergeCell ref="A50:A54"/>
    <mergeCell ref="B50:B54"/>
    <mergeCell ref="A25:A29"/>
    <mergeCell ref="B25:B29"/>
    <mergeCell ref="A30:A34"/>
    <mergeCell ref="B30:B34"/>
    <mergeCell ref="A35:A39"/>
    <mergeCell ref="B35:B39"/>
    <mergeCell ref="A10:A14"/>
    <mergeCell ref="B10:B14"/>
    <mergeCell ref="A15:A19"/>
    <mergeCell ref="B15:B19"/>
    <mergeCell ref="A20:A24"/>
    <mergeCell ref="B20:B24"/>
    <mergeCell ref="E1:F1"/>
    <mergeCell ref="A5:I5"/>
    <mergeCell ref="A7:A8"/>
    <mergeCell ref="B7:B8"/>
    <mergeCell ref="C7:C8"/>
    <mergeCell ref="D7:I7"/>
  </mergeCells>
  <pageMargins left="0.15748031496062992" right="0.15748031496062992" top="0.35433070866141736" bottom="0.51181102362204722" header="0.15748031496062992" footer="0.15748031496062992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5"/>
  <sheetViews>
    <sheetView topLeftCell="C1" workbookViewId="0">
      <selection activeCell="E7" sqref="E7:J7"/>
    </sheetView>
  </sheetViews>
  <sheetFormatPr defaultRowHeight="14.4" x14ac:dyDescent="0.3"/>
  <cols>
    <col min="1" max="1" width="21" customWidth="1"/>
    <col min="2" max="2" width="30.88671875" customWidth="1"/>
    <col min="3" max="3" width="22.44140625" customWidth="1"/>
    <col min="4" max="4" width="28.88671875" customWidth="1"/>
    <col min="5" max="5" width="13.88671875" customWidth="1"/>
    <col min="6" max="6" width="16.33203125" customWidth="1"/>
    <col min="7" max="7" width="14.6640625" customWidth="1"/>
    <col min="8" max="8" width="14.88671875" customWidth="1"/>
    <col min="9" max="9" width="13.5546875" customWidth="1"/>
    <col min="10" max="10" width="13.44140625" customWidth="1"/>
  </cols>
  <sheetData>
    <row r="1" spans="1:10" ht="15.6" x14ac:dyDescent="0.3">
      <c r="E1" s="2"/>
      <c r="F1" s="80" t="s">
        <v>50</v>
      </c>
      <c r="G1" s="80"/>
      <c r="H1" s="48"/>
      <c r="I1" s="48"/>
      <c r="J1" s="48"/>
    </row>
    <row r="2" spans="1:10" ht="15.6" x14ac:dyDescent="0.3">
      <c r="E2" s="49" t="s">
        <v>52</v>
      </c>
      <c r="F2" s="49"/>
      <c r="G2" s="49"/>
      <c r="H2" s="48"/>
      <c r="I2" s="48"/>
      <c r="J2" s="48"/>
    </row>
    <row r="3" spans="1:10" ht="15.6" x14ac:dyDescent="0.3">
      <c r="E3" s="50"/>
      <c r="F3" s="51" t="s">
        <v>243</v>
      </c>
      <c r="G3" s="50"/>
      <c r="H3" s="48"/>
      <c r="I3" s="48"/>
      <c r="J3" s="48"/>
    </row>
    <row r="4" spans="1:10" x14ac:dyDescent="0.3">
      <c r="A4" s="81" t="s">
        <v>171</v>
      </c>
      <c r="B4" s="81"/>
      <c r="C4" s="81"/>
      <c r="D4" s="81"/>
      <c r="E4" s="81"/>
      <c r="F4" s="81"/>
      <c r="G4" s="81"/>
      <c r="H4" s="82"/>
      <c r="I4" s="82"/>
      <c r="J4" s="82"/>
    </row>
    <row r="5" spans="1:10" x14ac:dyDescent="0.3">
      <c r="A5" s="129"/>
      <c r="B5" s="129"/>
      <c r="C5" s="129"/>
      <c r="D5" s="129"/>
      <c r="E5" s="129"/>
      <c r="F5" s="129"/>
      <c r="G5" s="129"/>
      <c r="H5" s="129"/>
      <c r="I5" s="129"/>
      <c r="J5" s="129"/>
    </row>
    <row r="6" spans="1:10" x14ac:dyDescent="0.3">
      <c r="A6" s="65"/>
      <c r="B6" s="65"/>
      <c r="C6" s="65"/>
      <c r="D6" s="66"/>
      <c r="E6" s="65"/>
      <c r="F6" s="65"/>
      <c r="G6" s="65"/>
      <c r="H6" s="65"/>
      <c r="I6" s="65"/>
      <c r="J6" s="65"/>
    </row>
    <row r="7" spans="1:10" x14ac:dyDescent="0.3">
      <c r="A7" s="83" t="s">
        <v>0</v>
      </c>
      <c r="B7" s="84" t="s">
        <v>1</v>
      </c>
      <c r="C7" s="85" t="s">
        <v>2</v>
      </c>
      <c r="D7" s="127" t="s">
        <v>15</v>
      </c>
      <c r="E7" s="86" t="s">
        <v>3</v>
      </c>
      <c r="F7" s="87"/>
      <c r="G7" s="87"/>
      <c r="H7" s="87"/>
      <c r="I7" s="87"/>
      <c r="J7" s="87"/>
    </row>
    <row r="8" spans="1:10" ht="126.75" customHeight="1" x14ac:dyDescent="0.3">
      <c r="A8" s="83"/>
      <c r="B8" s="84"/>
      <c r="C8" s="85"/>
      <c r="D8" s="128"/>
      <c r="E8" s="34" t="s">
        <v>62</v>
      </c>
      <c r="F8" s="34" t="s">
        <v>63</v>
      </c>
      <c r="G8" s="23" t="s">
        <v>64</v>
      </c>
      <c r="H8" s="23" t="s">
        <v>65</v>
      </c>
      <c r="I8" s="23" t="s">
        <v>66</v>
      </c>
      <c r="J8" s="23" t="s">
        <v>67</v>
      </c>
    </row>
    <row r="9" spans="1:10" x14ac:dyDescent="0.3">
      <c r="A9" s="36">
        <v>1</v>
      </c>
      <c r="B9" s="36">
        <v>2</v>
      </c>
      <c r="C9" s="5">
        <v>3</v>
      </c>
      <c r="D9" s="36">
        <v>4</v>
      </c>
      <c r="E9" s="5">
        <v>5</v>
      </c>
      <c r="F9" s="36">
        <v>6</v>
      </c>
      <c r="G9" s="5">
        <v>7</v>
      </c>
      <c r="H9" s="36">
        <v>8</v>
      </c>
      <c r="I9" s="36">
        <v>9</v>
      </c>
      <c r="J9" s="5">
        <v>10</v>
      </c>
    </row>
    <row r="10" spans="1:10" x14ac:dyDescent="0.3">
      <c r="A10" s="92" t="s">
        <v>4</v>
      </c>
      <c r="B10" s="88" t="s">
        <v>156</v>
      </c>
      <c r="C10" s="35" t="s">
        <v>5</v>
      </c>
      <c r="D10" s="35"/>
      <c r="E10" s="38">
        <f t="shared" ref="E10:J10" si="0">E12</f>
        <v>212737.82363999996</v>
      </c>
      <c r="F10" s="38">
        <f t="shared" si="0"/>
        <v>248272.23570000002</v>
      </c>
      <c r="G10" s="38">
        <f t="shared" si="0"/>
        <v>232295.66501999999</v>
      </c>
      <c r="H10" s="38">
        <f t="shared" si="0"/>
        <v>240279.94799999997</v>
      </c>
      <c r="I10" s="38">
        <f t="shared" si="0"/>
        <v>224345.34599999996</v>
      </c>
      <c r="J10" s="38">
        <f t="shared" si="0"/>
        <v>234994.14499999999</v>
      </c>
    </row>
    <row r="11" spans="1:10" x14ac:dyDescent="0.3">
      <c r="A11" s="92"/>
      <c r="B11" s="89"/>
      <c r="C11" s="6" t="s">
        <v>6</v>
      </c>
      <c r="D11" s="19"/>
      <c r="E11" s="55"/>
      <c r="F11" s="55"/>
      <c r="G11" s="55"/>
      <c r="H11" s="55"/>
      <c r="I11" s="55"/>
      <c r="J11" s="55"/>
    </row>
    <row r="12" spans="1:10" ht="57" customHeight="1" x14ac:dyDescent="0.3">
      <c r="A12" s="92"/>
      <c r="B12" s="98"/>
      <c r="C12" s="6" t="s">
        <v>7</v>
      </c>
      <c r="D12" s="19"/>
      <c r="E12" s="55">
        <f t="shared" ref="E12:J12" si="1">E13+E131+E153+E171</f>
        <v>212737.82363999996</v>
      </c>
      <c r="F12" s="55">
        <f t="shared" si="1"/>
        <v>248272.23570000002</v>
      </c>
      <c r="G12" s="55">
        <f t="shared" si="1"/>
        <v>232295.66501999999</v>
      </c>
      <c r="H12" s="55">
        <f t="shared" si="1"/>
        <v>240279.94799999997</v>
      </c>
      <c r="I12" s="55">
        <f t="shared" si="1"/>
        <v>224345.34599999996</v>
      </c>
      <c r="J12" s="55">
        <f t="shared" si="1"/>
        <v>234994.14499999999</v>
      </c>
    </row>
    <row r="13" spans="1:10" x14ac:dyDescent="0.3">
      <c r="A13" s="92" t="s">
        <v>8</v>
      </c>
      <c r="B13" s="92" t="s">
        <v>33</v>
      </c>
      <c r="C13" s="16" t="s">
        <v>5</v>
      </c>
      <c r="D13" s="16"/>
      <c r="E13" s="39">
        <f t="shared" ref="E13:J13" si="2">E15</f>
        <v>173923.41090999998</v>
      </c>
      <c r="F13" s="39">
        <f t="shared" si="2"/>
        <v>203607.31602000003</v>
      </c>
      <c r="G13" s="39">
        <f t="shared" si="2"/>
        <v>195795.78133</v>
      </c>
      <c r="H13" s="39">
        <f t="shared" si="2"/>
        <v>191900.74799999999</v>
      </c>
      <c r="I13" s="39">
        <f t="shared" si="2"/>
        <v>174395.64599999998</v>
      </c>
      <c r="J13" s="39">
        <f t="shared" si="2"/>
        <v>184319.745</v>
      </c>
    </row>
    <row r="14" spans="1:10" x14ac:dyDescent="0.3">
      <c r="A14" s="92"/>
      <c r="B14" s="92"/>
      <c r="C14" s="6" t="s">
        <v>6</v>
      </c>
      <c r="D14" s="19"/>
      <c r="E14" s="40"/>
      <c r="F14" s="40"/>
      <c r="G14" s="40"/>
      <c r="H14" s="40"/>
      <c r="I14" s="40"/>
      <c r="J14" s="40"/>
    </row>
    <row r="15" spans="1:10" ht="80.25" customHeight="1" x14ac:dyDescent="0.3">
      <c r="A15" s="92"/>
      <c r="B15" s="92"/>
      <c r="C15" s="6" t="s">
        <v>7</v>
      </c>
      <c r="D15" s="19"/>
      <c r="E15" s="40">
        <f t="shared" ref="E15:J15" si="3">E16+E27+E43+E47+E87+E119</f>
        <v>173923.41090999998</v>
      </c>
      <c r="F15" s="40">
        <f t="shared" si="3"/>
        <v>203607.31602000003</v>
      </c>
      <c r="G15" s="40">
        <f t="shared" si="3"/>
        <v>195795.78133</v>
      </c>
      <c r="H15" s="40">
        <f t="shared" si="3"/>
        <v>191900.74799999999</v>
      </c>
      <c r="I15" s="40">
        <f t="shared" si="3"/>
        <v>174395.64599999998</v>
      </c>
      <c r="J15" s="40">
        <f t="shared" si="3"/>
        <v>184319.745</v>
      </c>
    </row>
    <row r="16" spans="1:10" x14ac:dyDescent="0.3">
      <c r="A16" s="88" t="s">
        <v>9</v>
      </c>
      <c r="B16" s="93" t="s">
        <v>176</v>
      </c>
      <c r="C16" s="13" t="s">
        <v>5</v>
      </c>
      <c r="D16" s="15">
        <v>9.2407010117829504E+16</v>
      </c>
      <c r="E16" s="41">
        <f>E18+E20+E21+E22+E23+E24+E26</f>
        <v>12893.7</v>
      </c>
      <c r="F16" s="41">
        <f>F18+F20+F21+F22+F23+F24+F26+F19</f>
        <v>14181.9</v>
      </c>
      <c r="G16" s="41">
        <f>SUM(G18:G26)</f>
        <v>17551.699999999997</v>
      </c>
      <c r="H16" s="41">
        <f>H18+H19+H20+H21+H22+H23+H24+H26</f>
        <v>17551.699999999997</v>
      </c>
      <c r="I16" s="41">
        <f>I18+I20+I23+I24+I26+I21+I22</f>
        <v>18516.999999999996</v>
      </c>
      <c r="J16" s="41">
        <f>J18+J20+J23+J24+J26+J21+J22</f>
        <v>19350.299999999996</v>
      </c>
    </row>
    <row r="17" spans="1:10" x14ac:dyDescent="0.3">
      <c r="A17" s="89"/>
      <c r="B17" s="94"/>
      <c r="C17" s="7" t="s">
        <v>6</v>
      </c>
      <c r="D17" s="7"/>
      <c r="E17" s="28"/>
      <c r="F17" s="28"/>
      <c r="G17" s="28"/>
      <c r="H17" s="28"/>
      <c r="I17" s="28"/>
      <c r="J17" s="28"/>
    </row>
    <row r="18" spans="1:10" ht="27" customHeight="1" x14ac:dyDescent="0.3">
      <c r="A18" s="89"/>
      <c r="B18" s="94"/>
      <c r="C18" s="122" t="s">
        <v>7</v>
      </c>
      <c r="D18" s="12" t="s">
        <v>68</v>
      </c>
      <c r="E18" s="28">
        <f>1496.5005+3868.8871+749.60299+753.07762+697.68941+649.3+696.12578+659.27126</f>
        <v>9570.4546599999994</v>
      </c>
      <c r="F18" s="28">
        <v>10680.313690000001</v>
      </c>
      <c r="G18" s="28">
        <v>12085.59503</v>
      </c>
      <c r="H18" s="28">
        <v>12941.346</v>
      </c>
      <c r="I18" s="28">
        <v>13653</v>
      </c>
      <c r="J18" s="28">
        <v>14267.5</v>
      </c>
    </row>
    <row r="19" spans="1:10" ht="27" customHeight="1" x14ac:dyDescent="0.3">
      <c r="A19" s="89"/>
      <c r="B19" s="94"/>
      <c r="C19" s="123"/>
      <c r="D19" s="12" t="s">
        <v>129</v>
      </c>
      <c r="E19" s="28"/>
      <c r="F19" s="28">
        <v>27.55566</v>
      </c>
      <c r="G19" s="28">
        <v>47.760660000000001</v>
      </c>
      <c r="H19" s="28"/>
      <c r="I19" s="28"/>
      <c r="J19" s="28"/>
    </row>
    <row r="20" spans="1:10" ht="21.75" customHeight="1" x14ac:dyDescent="0.3">
      <c r="A20" s="89"/>
      <c r="B20" s="94"/>
      <c r="C20" s="123"/>
      <c r="D20" s="12" t="s">
        <v>69</v>
      </c>
      <c r="E20" s="28">
        <f>452.57462+1190.32925+234.97976+224.8148+201.25016+199.42583+210.23+196.5288</f>
        <v>2910.1332200000002</v>
      </c>
      <c r="F20" s="28">
        <v>3148.22271</v>
      </c>
      <c r="G20" s="28">
        <v>3626.1260299999999</v>
      </c>
      <c r="H20" s="28">
        <v>3907.654</v>
      </c>
      <c r="I20" s="28">
        <v>4124</v>
      </c>
      <c r="J20" s="28">
        <v>4308.8</v>
      </c>
    </row>
    <row r="21" spans="1:10" ht="21.75" customHeight="1" x14ac:dyDescent="0.3">
      <c r="A21" s="89"/>
      <c r="B21" s="94"/>
      <c r="C21" s="123"/>
      <c r="D21" s="12" t="s">
        <v>70</v>
      </c>
      <c r="E21" s="28">
        <v>62.304000000000002</v>
      </c>
      <c r="F21" s="28">
        <v>63.271999999999998</v>
      </c>
      <c r="G21" s="28">
        <v>63.36</v>
      </c>
      <c r="H21" s="28">
        <v>63.6</v>
      </c>
      <c r="I21" s="28">
        <v>63.6</v>
      </c>
      <c r="J21" s="28">
        <v>63.6</v>
      </c>
    </row>
    <row r="22" spans="1:10" ht="21.75" customHeight="1" x14ac:dyDescent="0.3">
      <c r="A22" s="89"/>
      <c r="B22" s="94"/>
      <c r="C22" s="123"/>
      <c r="D22" s="12" t="s">
        <v>71</v>
      </c>
      <c r="E22" s="28"/>
      <c r="F22" s="28">
        <f>E22*0.96370968</f>
        <v>0</v>
      </c>
      <c r="G22" s="28">
        <v>6.92</v>
      </c>
      <c r="H22" s="28"/>
      <c r="I22" s="28"/>
      <c r="J22" s="28"/>
    </row>
    <row r="23" spans="1:10" ht="25.5" customHeight="1" x14ac:dyDescent="0.3">
      <c r="A23" s="89"/>
      <c r="B23" s="94"/>
      <c r="C23" s="123"/>
      <c r="D23" s="12" t="s">
        <v>72</v>
      </c>
      <c r="E23" s="28">
        <f>34.6</f>
        <v>34.6</v>
      </c>
      <c r="F23" s="28">
        <v>6.4</v>
      </c>
      <c r="G23" s="28">
        <v>0.78149999999999997</v>
      </c>
      <c r="H23" s="28"/>
      <c r="I23" s="28"/>
      <c r="J23" s="28"/>
    </row>
    <row r="24" spans="1:10" ht="21" customHeight="1" x14ac:dyDescent="0.3">
      <c r="A24" s="89"/>
      <c r="B24" s="94"/>
      <c r="C24" s="123"/>
      <c r="D24" s="12" t="s">
        <v>73</v>
      </c>
      <c r="E24" s="28">
        <f>24.74309+8.02272+76.944</f>
        <v>109.70981</v>
      </c>
      <c r="F24" s="28">
        <f>51.73+99.9+62</f>
        <v>213.63</v>
      </c>
      <c r="G24" s="28">
        <v>1072.3047799999999</v>
      </c>
      <c r="H24" s="28">
        <v>539.1</v>
      </c>
      <c r="I24" s="28">
        <v>539.1</v>
      </c>
      <c r="J24" s="28">
        <v>539.1</v>
      </c>
    </row>
    <row r="25" spans="1:10" ht="21" customHeight="1" x14ac:dyDescent="0.3">
      <c r="A25" s="89"/>
      <c r="B25" s="94"/>
      <c r="C25" s="123"/>
      <c r="D25" s="12" t="s">
        <v>200</v>
      </c>
      <c r="E25" s="28"/>
      <c r="F25" s="28"/>
      <c r="G25" s="28">
        <v>297</v>
      </c>
      <c r="H25" s="28"/>
      <c r="I25" s="28"/>
      <c r="J25" s="28"/>
    </row>
    <row r="26" spans="1:10" ht="19.5" customHeight="1" x14ac:dyDescent="0.3">
      <c r="A26" s="89"/>
      <c r="B26" s="94"/>
      <c r="C26" s="123"/>
      <c r="D26" s="12" t="s">
        <v>74</v>
      </c>
      <c r="E26" s="28">
        <f>4.06+200.84831+1.59</f>
        <v>206.49831</v>
      </c>
      <c r="F26" s="28">
        <v>42.505940000000002</v>
      </c>
      <c r="G26" s="28">
        <v>351.85199999999998</v>
      </c>
      <c r="H26" s="28">
        <v>100</v>
      </c>
      <c r="I26" s="28">
        <v>137.30000000000001</v>
      </c>
      <c r="J26" s="28">
        <v>171.3</v>
      </c>
    </row>
    <row r="27" spans="1:10" x14ac:dyDescent="0.3">
      <c r="A27" s="88" t="s">
        <v>53</v>
      </c>
      <c r="B27" s="88" t="s">
        <v>174</v>
      </c>
      <c r="C27" s="13" t="s">
        <v>5</v>
      </c>
      <c r="D27" s="56"/>
      <c r="E27" s="41">
        <f t="shared" ref="E27:J27" si="4">E28+E29</f>
        <v>102190.39999999999</v>
      </c>
      <c r="F27" s="41">
        <f t="shared" si="4"/>
        <v>100778.49976000001</v>
      </c>
      <c r="G27" s="41">
        <f t="shared" si="4"/>
        <v>109789.30029</v>
      </c>
      <c r="H27" s="41">
        <f>H28+H29</f>
        <v>115125.3</v>
      </c>
      <c r="I27" s="41">
        <f t="shared" si="4"/>
        <v>120440.40000000001</v>
      </c>
      <c r="J27" s="41">
        <f t="shared" si="4"/>
        <v>126579.1</v>
      </c>
    </row>
    <row r="28" spans="1:10" x14ac:dyDescent="0.3">
      <c r="A28" s="89"/>
      <c r="B28" s="89"/>
      <c r="C28" s="21" t="s">
        <v>6</v>
      </c>
      <c r="D28" s="12" t="s">
        <v>213</v>
      </c>
      <c r="E28" s="60">
        <v>22277.766</v>
      </c>
      <c r="F28" s="60">
        <v>27201.985000000001</v>
      </c>
      <c r="G28" s="60">
        <f>596.05271+33244.966</f>
        <v>33841.018710000004</v>
      </c>
      <c r="H28" s="60">
        <f>1823+29000</f>
        <v>30823</v>
      </c>
      <c r="I28" s="60">
        <f>1823+30450</f>
        <v>32273</v>
      </c>
      <c r="J28" s="60">
        <f>1823+30595</f>
        <v>32418</v>
      </c>
    </row>
    <row r="29" spans="1:10" x14ac:dyDescent="0.3">
      <c r="A29" s="89"/>
      <c r="B29" s="89"/>
      <c r="C29" s="124"/>
      <c r="D29" s="57"/>
      <c r="E29" s="60">
        <f>E32+E34+E35+E36+E37+E38+E39+E41+E42</f>
        <v>79912.633999999991</v>
      </c>
      <c r="F29" s="60">
        <f>F32+F33+F34+F35+F36+F37+F38+F39+F41+F42</f>
        <v>73576.514760000005</v>
      </c>
      <c r="G29" s="60">
        <f>SUM(G30:G42)</f>
        <v>75948.281579999995</v>
      </c>
      <c r="H29" s="60">
        <f t="shared" ref="H29:J29" si="5">SUM(H30:H42)</f>
        <v>84302.3</v>
      </c>
      <c r="I29" s="60">
        <f t="shared" si="5"/>
        <v>88167.400000000009</v>
      </c>
      <c r="J29" s="60">
        <f t="shared" si="5"/>
        <v>94161.1</v>
      </c>
    </row>
    <row r="30" spans="1:10" x14ac:dyDescent="0.3">
      <c r="A30" s="89"/>
      <c r="B30" s="89"/>
      <c r="C30" s="124"/>
      <c r="D30" s="12" t="s">
        <v>172</v>
      </c>
      <c r="E30" s="28"/>
      <c r="F30" s="28"/>
      <c r="G30" s="28">
        <v>1835.9372900000001</v>
      </c>
      <c r="H30" s="28">
        <v>7004.6</v>
      </c>
      <c r="I30" s="28">
        <v>7004.6</v>
      </c>
      <c r="J30" s="28">
        <v>7004.6</v>
      </c>
    </row>
    <row r="31" spans="1:10" x14ac:dyDescent="0.3">
      <c r="A31" s="89"/>
      <c r="B31" s="89"/>
      <c r="C31" s="124"/>
      <c r="D31" s="12" t="s">
        <v>207</v>
      </c>
      <c r="E31" s="28"/>
      <c r="F31" s="28"/>
      <c r="G31" s="28">
        <v>536.61028999999996</v>
      </c>
      <c r="H31" s="28"/>
      <c r="I31" s="28"/>
      <c r="J31" s="28"/>
    </row>
    <row r="32" spans="1:10" ht="25.5" customHeight="1" x14ac:dyDescent="0.3">
      <c r="A32" s="89"/>
      <c r="B32" s="89"/>
      <c r="C32" s="124"/>
      <c r="D32" s="12" t="s">
        <v>55</v>
      </c>
      <c r="E32" s="60">
        <v>58814.570209999998</v>
      </c>
      <c r="F32" s="60">
        <v>55143.428999999996</v>
      </c>
      <c r="G32" s="72">
        <v>52832.322139999997</v>
      </c>
      <c r="H32" s="60">
        <v>56994</v>
      </c>
      <c r="I32" s="60">
        <v>56994</v>
      </c>
      <c r="J32" s="60">
        <v>64263</v>
      </c>
    </row>
    <row r="33" spans="1:10" ht="25.5" customHeight="1" x14ac:dyDescent="0.3">
      <c r="A33" s="89"/>
      <c r="B33" s="89"/>
      <c r="C33" s="124"/>
      <c r="D33" s="12" t="s">
        <v>145</v>
      </c>
      <c r="E33" s="60"/>
      <c r="F33" s="60">
        <v>142.86738</v>
      </c>
      <c r="G33" s="73">
        <v>234.83123000000001</v>
      </c>
      <c r="H33" s="60"/>
      <c r="I33" s="60"/>
      <c r="J33" s="60"/>
    </row>
    <row r="34" spans="1:10" ht="15.75" customHeight="1" x14ac:dyDescent="0.3">
      <c r="A34" s="89"/>
      <c r="B34" s="89"/>
      <c r="C34" s="124"/>
      <c r="D34" s="12" t="s">
        <v>56</v>
      </c>
      <c r="E34" s="60">
        <v>17878.479360000001</v>
      </c>
      <c r="F34" s="60">
        <v>16558.047419999999</v>
      </c>
      <c r="G34" s="73">
        <v>15952.184660000001</v>
      </c>
      <c r="H34" s="60">
        <v>17211.984</v>
      </c>
      <c r="I34" s="60">
        <v>20922</v>
      </c>
      <c r="J34" s="60">
        <v>19407</v>
      </c>
    </row>
    <row r="35" spans="1:10" ht="18" customHeight="1" x14ac:dyDescent="0.3">
      <c r="A35" s="89"/>
      <c r="B35" s="89"/>
      <c r="C35" s="124"/>
      <c r="D35" s="12" t="s">
        <v>57</v>
      </c>
      <c r="E35" s="60">
        <v>398.74560000000002</v>
      </c>
      <c r="F35" s="60">
        <v>604.03</v>
      </c>
      <c r="G35" s="62">
        <v>443.68400000000003</v>
      </c>
      <c r="H35" s="60">
        <v>600</v>
      </c>
      <c r="I35" s="60">
        <v>600</v>
      </c>
      <c r="J35" s="60">
        <v>600</v>
      </c>
    </row>
    <row r="36" spans="1:10" ht="18" customHeight="1" x14ac:dyDescent="0.3">
      <c r="A36" s="89"/>
      <c r="B36" s="89"/>
      <c r="C36" s="124"/>
      <c r="D36" s="12" t="s">
        <v>76</v>
      </c>
      <c r="E36" s="60"/>
      <c r="F36" s="60">
        <f>E36*1.1133479536</f>
        <v>0</v>
      </c>
      <c r="G36" s="62"/>
      <c r="H36" s="60"/>
      <c r="I36" s="60"/>
      <c r="J36" s="60"/>
    </row>
    <row r="37" spans="1:10" ht="18" customHeight="1" x14ac:dyDescent="0.3">
      <c r="A37" s="89"/>
      <c r="B37" s="89"/>
      <c r="C37" s="124"/>
      <c r="D37" s="12" t="s">
        <v>77</v>
      </c>
      <c r="E37" s="60">
        <f>1.2+83.28</f>
        <v>84.48</v>
      </c>
      <c r="F37" s="60">
        <v>71.627499999999998</v>
      </c>
      <c r="G37" s="72">
        <v>115.54083</v>
      </c>
      <c r="H37" s="60">
        <v>40</v>
      </c>
      <c r="I37" s="60">
        <v>40</v>
      </c>
      <c r="J37" s="60">
        <v>40</v>
      </c>
    </row>
    <row r="38" spans="1:10" ht="27" customHeight="1" x14ac:dyDescent="0.3">
      <c r="A38" s="89"/>
      <c r="B38" s="89"/>
      <c r="C38" s="124"/>
      <c r="D38" s="12" t="s">
        <v>202</v>
      </c>
      <c r="E38" s="60">
        <f>64.0531+26.802+34.73664+579.09577</f>
        <v>704.68750999999997</v>
      </c>
      <c r="F38" s="60">
        <f>4.425+75.075</f>
        <v>79.5</v>
      </c>
      <c r="G38" s="62">
        <v>262.87</v>
      </c>
      <c r="H38" s="60">
        <v>70</v>
      </c>
      <c r="I38" s="60">
        <v>70</v>
      </c>
      <c r="J38" s="60">
        <v>70</v>
      </c>
    </row>
    <row r="39" spans="1:10" ht="27" customHeight="1" x14ac:dyDescent="0.3">
      <c r="A39" s="89"/>
      <c r="B39" s="89"/>
      <c r="C39" s="124"/>
      <c r="D39" s="12" t="s">
        <v>101</v>
      </c>
      <c r="E39" s="60">
        <v>3.75</v>
      </c>
      <c r="F39" s="60"/>
      <c r="G39" s="62"/>
      <c r="H39" s="60"/>
      <c r="I39" s="60"/>
      <c r="J39" s="60"/>
    </row>
    <row r="40" spans="1:10" ht="27" customHeight="1" x14ac:dyDescent="0.3">
      <c r="A40" s="89"/>
      <c r="B40" s="89"/>
      <c r="C40" s="124"/>
      <c r="D40" s="12" t="s">
        <v>203</v>
      </c>
      <c r="E40" s="60"/>
      <c r="F40" s="60"/>
      <c r="G40" s="62">
        <v>1016.65179</v>
      </c>
      <c r="H40" s="60"/>
      <c r="I40" s="60"/>
      <c r="J40" s="60"/>
    </row>
    <row r="41" spans="1:10" ht="19.5" customHeight="1" x14ac:dyDescent="0.3">
      <c r="A41" s="89"/>
      <c r="B41" s="89"/>
      <c r="C41" s="124"/>
      <c r="D41" s="12" t="s">
        <v>78</v>
      </c>
      <c r="E41" s="60">
        <f>717.40437+177.082+99.968+378.21164+189.97054+62.51+39.8</f>
        <v>1664.9465499999999</v>
      </c>
      <c r="F41" s="60">
        <f>821.79002+60</f>
        <v>881.79002000000003</v>
      </c>
      <c r="G41" s="62">
        <v>2457.1933100000001</v>
      </c>
      <c r="H41" s="60">
        <v>2095.9160000000002</v>
      </c>
      <c r="I41" s="60">
        <v>1955</v>
      </c>
      <c r="J41" s="60">
        <f>1955+335.5</f>
        <v>2290.5</v>
      </c>
    </row>
    <row r="42" spans="1:10" ht="20.25" customHeight="1" x14ac:dyDescent="0.3">
      <c r="A42" s="89"/>
      <c r="B42" s="89"/>
      <c r="C42" s="125"/>
      <c r="D42" s="12" t="s">
        <v>79</v>
      </c>
      <c r="E42" s="60">
        <f>27.72448+286.00104+36.28+1.85806+11.11119</f>
        <v>362.97476999999998</v>
      </c>
      <c r="F42" s="60">
        <f>34.94162+44.69322+15.5886</f>
        <v>95.223439999999997</v>
      </c>
      <c r="G42" s="62">
        <f>228.13839+32.31765</f>
        <v>260.45603999999997</v>
      </c>
      <c r="H42" s="60">
        <f>216+69.8</f>
        <v>285.8</v>
      </c>
      <c r="I42" s="60">
        <f>70+16+200+295.8</f>
        <v>581.79999999999995</v>
      </c>
      <c r="J42" s="60">
        <f>70+16+200+200</f>
        <v>486</v>
      </c>
    </row>
    <row r="43" spans="1:10" ht="24.75" customHeight="1" x14ac:dyDescent="0.3">
      <c r="A43" s="92" t="s">
        <v>47</v>
      </c>
      <c r="B43" s="92" t="s">
        <v>180</v>
      </c>
      <c r="C43" s="6" t="s">
        <v>5</v>
      </c>
      <c r="D43" s="13"/>
      <c r="E43" s="41">
        <f t="shared" ref="E43:J43" si="6">E45+E46</f>
        <v>1111.5999999999999</v>
      </c>
      <c r="F43" s="41">
        <f>F45+F46</f>
        <v>1174</v>
      </c>
      <c r="G43" s="41">
        <f t="shared" si="6"/>
        <v>1014.9838</v>
      </c>
      <c r="H43" s="41">
        <f t="shared" si="6"/>
        <v>1214.9000000000001</v>
      </c>
      <c r="I43" s="41">
        <f t="shared" si="6"/>
        <v>1213.9000000000001</v>
      </c>
      <c r="J43" s="41">
        <f t="shared" si="6"/>
        <v>1213.9000000000001</v>
      </c>
    </row>
    <row r="44" spans="1:10" ht="22.5" customHeight="1" x14ac:dyDescent="0.3">
      <c r="A44" s="92"/>
      <c r="B44" s="92"/>
      <c r="C44" s="6" t="s">
        <v>6</v>
      </c>
      <c r="D44" s="6"/>
      <c r="E44" s="60"/>
      <c r="F44" s="60"/>
      <c r="G44" s="28"/>
      <c r="H44" s="60"/>
      <c r="I44" s="60"/>
      <c r="J44" s="60"/>
    </row>
    <row r="45" spans="1:10" ht="22.5" customHeight="1" x14ac:dyDescent="0.3">
      <c r="A45" s="92"/>
      <c r="B45" s="92"/>
      <c r="C45" s="6"/>
      <c r="D45" s="12" t="s">
        <v>75</v>
      </c>
      <c r="E45" s="28">
        <f>351.3923+204.4077</f>
        <v>555.79999999999995</v>
      </c>
      <c r="F45" s="28">
        <f>350.856+287.144</f>
        <v>638</v>
      </c>
      <c r="G45" s="28">
        <f>219.7838+355.2</f>
        <v>574.98379999999997</v>
      </c>
      <c r="H45" s="28">
        <f>673.6-336.6+541.3-270.3</f>
        <v>608</v>
      </c>
      <c r="I45" s="28">
        <v>607</v>
      </c>
      <c r="J45" s="28">
        <v>607</v>
      </c>
    </row>
    <row r="46" spans="1:10" ht="26.25" customHeight="1" x14ac:dyDescent="0.3">
      <c r="A46" s="92"/>
      <c r="B46" s="92"/>
      <c r="C46" s="6" t="s">
        <v>7</v>
      </c>
      <c r="D46" s="12" t="s">
        <v>75</v>
      </c>
      <c r="E46" s="60">
        <v>555.79999999999995</v>
      </c>
      <c r="F46" s="60">
        <v>536</v>
      </c>
      <c r="G46" s="28">
        <f>218.271+221.729</f>
        <v>440</v>
      </c>
      <c r="H46" s="28">
        <f>270.3+336.6</f>
        <v>606.90000000000009</v>
      </c>
      <c r="I46" s="28">
        <v>606.9</v>
      </c>
      <c r="J46" s="28">
        <v>606.9</v>
      </c>
    </row>
    <row r="47" spans="1:10" ht="23.25" customHeight="1" x14ac:dyDescent="0.3">
      <c r="A47" s="90" t="s">
        <v>17</v>
      </c>
      <c r="B47" s="88" t="s">
        <v>37</v>
      </c>
      <c r="C47" s="14" t="s">
        <v>5</v>
      </c>
      <c r="D47" s="14"/>
      <c r="E47" s="42">
        <f t="shared" ref="E47:J47" si="7">E49+E50</f>
        <v>43521.606749999999</v>
      </c>
      <c r="F47" s="42">
        <f t="shared" si="7"/>
        <v>62782.871330000016</v>
      </c>
      <c r="G47" s="42">
        <f t="shared" si="7"/>
        <v>50046.388200000001</v>
      </c>
      <c r="H47" s="42">
        <f t="shared" si="7"/>
        <v>41734.847999999998</v>
      </c>
      <c r="I47" s="42">
        <f t="shared" si="7"/>
        <v>24949.046000000002</v>
      </c>
      <c r="J47" s="42">
        <f t="shared" si="7"/>
        <v>27899.945</v>
      </c>
    </row>
    <row r="48" spans="1:10" ht="22.5" customHeight="1" x14ac:dyDescent="0.3">
      <c r="A48" s="90"/>
      <c r="B48" s="89"/>
      <c r="C48" s="6" t="s">
        <v>6</v>
      </c>
      <c r="D48" s="27"/>
      <c r="E48" s="28"/>
      <c r="F48" s="28"/>
      <c r="G48" s="28"/>
      <c r="H48" s="28"/>
      <c r="I48" s="28"/>
      <c r="J48" s="28"/>
    </row>
    <row r="49" spans="1:10" ht="22.5" customHeight="1" x14ac:dyDescent="0.3">
      <c r="A49" s="90"/>
      <c r="B49" s="89"/>
      <c r="C49" s="37"/>
      <c r="D49" s="78" t="s">
        <v>80</v>
      </c>
      <c r="E49" s="79">
        <f>5011.782+1863.925+450+60+250+450</f>
        <v>8085.7070000000003</v>
      </c>
      <c r="F49" s="79">
        <f>37463.074-F28+850</f>
        <v>11111.089</v>
      </c>
      <c r="G49" s="79">
        <f>12366.66026-596.05271</f>
        <v>11770.607550000001</v>
      </c>
      <c r="H49" s="79">
        <f>7859+2003.12+619.89</f>
        <v>10482.009999999998</v>
      </c>
      <c r="I49" s="79">
        <f>7859+2028</f>
        <v>9887</v>
      </c>
      <c r="J49" s="79">
        <f>7859+1960</f>
        <v>9819</v>
      </c>
    </row>
    <row r="50" spans="1:10" ht="22.5" customHeight="1" x14ac:dyDescent="0.3">
      <c r="A50" s="90"/>
      <c r="B50" s="89"/>
      <c r="C50" s="37"/>
      <c r="D50" s="12"/>
      <c r="E50" s="28">
        <f t="shared" ref="E50:J50" si="8">SUM(E51:E86)</f>
        <v>35435.899749999997</v>
      </c>
      <c r="F50" s="28">
        <f t="shared" si="8"/>
        <v>51671.782330000016</v>
      </c>
      <c r="G50" s="28">
        <f t="shared" si="8"/>
        <v>38275.780650000001</v>
      </c>
      <c r="H50" s="28">
        <f t="shared" si="8"/>
        <v>31252.838</v>
      </c>
      <c r="I50" s="28">
        <f t="shared" si="8"/>
        <v>15062.046</v>
      </c>
      <c r="J50" s="28">
        <f t="shared" si="8"/>
        <v>18080.945</v>
      </c>
    </row>
    <row r="51" spans="1:10" ht="17.25" customHeight="1" x14ac:dyDescent="0.3">
      <c r="A51" s="90"/>
      <c r="B51" s="89"/>
      <c r="C51" s="112" t="s">
        <v>7</v>
      </c>
      <c r="D51" s="12" t="s">
        <v>81</v>
      </c>
      <c r="E51" s="28">
        <v>113.13836999999999</v>
      </c>
      <c r="F51" s="28">
        <v>134.42596</v>
      </c>
      <c r="G51" s="28">
        <v>122.10929</v>
      </c>
      <c r="H51" s="28">
        <v>120</v>
      </c>
      <c r="I51" s="28">
        <v>100</v>
      </c>
      <c r="J51" s="28">
        <v>100</v>
      </c>
    </row>
    <row r="52" spans="1:10" ht="17.25" customHeight="1" x14ac:dyDescent="0.3">
      <c r="A52" s="90"/>
      <c r="B52" s="89"/>
      <c r="C52" s="113"/>
      <c r="D52" s="12" t="s">
        <v>146</v>
      </c>
      <c r="E52" s="28"/>
      <c r="F52" s="28">
        <v>12</v>
      </c>
      <c r="G52" s="28">
        <v>10.08</v>
      </c>
      <c r="H52" s="28"/>
      <c r="I52" s="28"/>
      <c r="J52" s="28"/>
    </row>
    <row r="53" spans="1:10" ht="19.5" customHeight="1" x14ac:dyDescent="0.3">
      <c r="A53" s="90"/>
      <c r="B53" s="90"/>
      <c r="C53" s="113"/>
      <c r="D53" s="12" t="s">
        <v>82</v>
      </c>
      <c r="E53" s="28">
        <f>121.08712+1087.62123+84.49908+2081.66429+11771.07794</f>
        <v>15145.949659999998</v>
      </c>
      <c r="F53" s="28">
        <f>160.58802+1334.92058+115.74985+12949.79485+2264.74222</f>
        <v>16825.79552</v>
      </c>
      <c r="G53" s="28">
        <f>1563.36941+10104.13676</f>
        <v>11667.506169999999</v>
      </c>
      <c r="H53" s="28">
        <f>12000+1710.2+7.5</f>
        <v>13717.7</v>
      </c>
      <c r="I53" s="28">
        <v>3000</v>
      </c>
      <c r="J53" s="28">
        <v>3000</v>
      </c>
    </row>
    <row r="54" spans="1:10" ht="25.5" customHeight="1" x14ac:dyDescent="0.3">
      <c r="A54" s="90"/>
      <c r="B54" s="90"/>
      <c r="C54" s="113"/>
      <c r="D54" s="12" t="s">
        <v>83</v>
      </c>
      <c r="E54" s="28">
        <f>184.4658+16.046+87.12539+10.77473+111.98023+2088.80012+129.76761+81+33.51926+359.22921+131.56338+631.74974+106.774+325</f>
        <v>4297.7954699999991</v>
      </c>
      <c r="F54" s="28">
        <f>189.405+12.058+116.05962+14.06082+117.76575+3542.52689+10.05+44.05059+278.443+559.74121+203.17992</f>
        <v>5087.3407999999999</v>
      </c>
      <c r="G54" s="28">
        <v>3165.4468700000002</v>
      </c>
      <c r="H54" s="28">
        <v>800</v>
      </c>
      <c r="I54" s="28">
        <v>50</v>
      </c>
      <c r="J54" s="28">
        <v>50</v>
      </c>
    </row>
    <row r="55" spans="1:10" ht="25.5" customHeight="1" x14ac:dyDescent="0.3">
      <c r="A55" s="90"/>
      <c r="B55" s="90"/>
      <c r="C55" s="113"/>
      <c r="D55" s="12" t="s">
        <v>212</v>
      </c>
      <c r="E55" s="28">
        <v>7</v>
      </c>
      <c r="F55" s="28">
        <f>3849.2+144.58107</f>
        <v>3993.78107</v>
      </c>
      <c r="G55" s="28">
        <f>20.42741+1341.4</f>
        <v>1361.8274100000001</v>
      </c>
      <c r="H55" s="28">
        <v>900</v>
      </c>
      <c r="I55" s="28"/>
      <c r="J55" s="28"/>
    </row>
    <row r="56" spans="1:10" ht="25.5" customHeight="1" x14ac:dyDescent="0.3">
      <c r="A56" s="90"/>
      <c r="B56" s="90"/>
      <c r="C56" s="113"/>
      <c r="D56" s="12" t="s">
        <v>148</v>
      </c>
      <c r="E56" s="28">
        <v>700</v>
      </c>
      <c r="F56" s="28">
        <f>5226.36585+3681.66738</f>
        <v>8908.0332300000009</v>
      </c>
      <c r="G56" s="28">
        <f>917.73922+931.83256</f>
        <v>1849.57178</v>
      </c>
      <c r="H56" s="28"/>
      <c r="I56" s="28"/>
      <c r="J56" s="28"/>
    </row>
    <row r="57" spans="1:10" ht="25.5" customHeight="1" x14ac:dyDescent="0.3">
      <c r="A57" s="90"/>
      <c r="B57" s="90"/>
      <c r="C57" s="113"/>
      <c r="D57" s="12" t="s">
        <v>197</v>
      </c>
      <c r="E57" s="28"/>
      <c r="F57" s="28"/>
      <c r="G57" s="28">
        <f>200+7.178</f>
        <v>207.178</v>
      </c>
      <c r="H57" s="28"/>
      <c r="I57" s="28"/>
      <c r="J57" s="28"/>
    </row>
    <row r="58" spans="1:10" ht="25.5" customHeight="1" x14ac:dyDescent="0.3">
      <c r="A58" s="90"/>
      <c r="B58" s="90"/>
      <c r="C58" s="113"/>
      <c r="D58" s="12" t="s">
        <v>205</v>
      </c>
      <c r="E58" s="28"/>
      <c r="F58" s="28"/>
      <c r="G58" s="28">
        <v>922.83213999999998</v>
      </c>
      <c r="H58" s="28"/>
      <c r="I58" s="28"/>
      <c r="J58" s="28"/>
    </row>
    <row r="59" spans="1:10" ht="25.5" customHeight="1" x14ac:dyDescent="0.3">
      <c r="A59" s="90"/>
      <c r="B59" s="90"/>
      <c r="C59" s="113"/>
      <c r="D59" s="12" t="s">
        <v>84</v>
      </c>
      <c r="E59" s="28"/>
      <c r="F59" s="28"/>
      <c r="G59" s="28"/>
      <c r="H59" s="28"/>
      <c r="I59" s="28"/>
      <c r="J59" s="28"/>
    </row>
    <row r="60" spans="1:10" ht="27" customHeight="1" x14ac:dyDescent="0.3">
      <c r="A60" s="90"/>
      <c r="B60" s="90"/>
      <c r="C60" s="113"/>
      <c r="D60" s="12" t="s">
        <v>85</v>
      </c>
      <c r="E60" s="28">
        <f>37.49401+291.2+5.71+54.62282+82.55202+1164.31044+287.7+1+129.26669+1172.1857+6.55483+4.35+401.95</f>
        <v>3638.89651</v>
      </c>
      <c r="F60" s="28">
        <f>26.99968+20.5+89.78102+3273.88137+122+60.175+9.348+47+5.8+252.001</f>
        <v>3907.4860700000004</v>
      </c>
      <c r="G60" s="28">
        <v>1458.7427700000001</v>
      </c>
      <c r="H60" s="28">
        <v>500</v>
      </c>
      <c r="I60" s="28"/>
      <c r="J60" s="28"/>
    </row>
    <row r="61" spans="1:10" ht="27" customHeight="1" x14ac:dyDescent="0.3">
      <c r="A61" s="90"/>
      <c r="B61" s="90"/>
      <c r="C61" s="113"/>
      <c r="D61" s="12" t="s">
        <v>199</v>
      </c>
      <c r="E61" s="28"/>
      <c r="F61" s="28"/>
      <c r="G61" s="28">
        <v>30.74</v>
      </c>
      <c r="H61" s="28"/>
      <c r="I61" s="28"/>
      <c r="J61" s="28"/>
    </row>
    <row r="62" spans="1:10" ht="27" customHeight="1" x14ac:dyDescent="0.3">
      <c r="A62" s="90"/>
      <c r="B62" s="90"/>
      <c r="C62" s="113"/>
      <c r="D62" s="12" t="s">
        <v>160</v>
      </c>
      <c r="E62" s="28"/>
      <c r="F62" s="28">
        <v>96.877319999999997</v>
      </c>
      <c r="G62" s="28"/>
      <c r="H62" s="28"/>
      <c r="I62" s="28"/>
      <c r="J62" s="28"/>
    </row>
    <row r="63" spans="1:10" ht="27" customHeight="1" x14ac:dyDescent="0.3">
      <c r="A63" s="90"/>
      <c r="B63" s="90"/>
      <c r="C63" s="113"/>
      <c r="D63" s="12" t="s">
        <v>159</v>
      </c>
      <c r="E63" s="28"/>
      <c r="F63" s="28">
        <v>125.00015999999999</v>
      </c>
      <c r="G63" s="28">
        <v>10</v>
      </c>
      <c r="H63" s="28"/>
      <c r="I63" s="28"/>
      <c r="J63" s="28"/>
    </row>
    <row r="64" spans="1:10" ht="25.5" customHeight="1" x14ac:dyDescent="0.3">
      <c r="A64" s="90"/>
      <c r="B64" s="90"/>
      <c r="C64" s="113"/>
      <c r="D64" s="12" t="s">
        <v>126</v>
      </c>
      <c r="E64" s="28"/>
      <c r="F64" s="28">
        <f>42.6064+33.91413</f>
        <v>76.520530000000008</v>
      </c>
      <c r="G64" s="28">
        <v>96.363659999999996</v>
      </c>
      <c r="H64" s="28">
        <v>20</v>
      </c>
      <c r="I64" s="28"/>
      <c r="J64" s="28"/>
    </row>
    <row r="65" spans="1:10" ht="25.5" customHeight="1" x14ac:dyDescent="0.3">
      <c r="A65" s="90"/>
      <c r="B65" s="90"/>
      <c r="C65" s="113"/>
      <c r="D65" s="12" t="s">
        <v>107</v>
      </c>
      <c r="E65" s="28">
        <v>4.3017500000000002</v>
      </c>
      <c r="F65" s="28"/>
      <c r="G65" s="28"/>
      <c r="H65" s="28"/>
      <c r="I65" s="28"/>
      <c r="J65" s="28"/>
    </row>
    <row r="66" spans="1:10" ht="25.5" customHeight="1" x14ac:dyDescent="0.3">
      <c r="A66" s="90"/>
      <c r="B66" s="90"/>
      <c r="C66" s="113"/>
      <c r="D66" s="12" t="s">
        <v>104</v>
      </c>
      <c r="E66" s="28">
        <v>47</v>
      </c>
      <c r="F66" s="28">
        <v>40</v>
      </c>
      <c r="G66" s="28">
        <v>25</v>
      </c>
      <c r="H66" s="28">
        <v>30</v>
      </c>
      <c r="I66" s="28">
        <v>30</v>
      </c>
      <c r="J66" s="28">
        <v>30</v>
      </c>
    </row>
    <row r="67" spans="1:10" ht="25.5" customHeight="1" x14ac:dyDescent="0.3">
      <c r="A67" s="90"/>
      <c r="B67" s="90"/>
      <c r="C67" s="113"/>
      <c r="D67" s="12" t="s">
        <v>107</v>
      </c>
      <c r="E67" s="28">
        <v>100</v>
      </c>
      <c r="F67" s="28"/>
      <c r="G67" s="28"/>
      <c r="H67" s="28"/>
      <c r="I67" s="28"/>
      <c r="J67" s="28"/>
    </row>
    <row r="68" spans="1:10" ht="25.5" customHeight="1" x14ac:dyDescent="0.3">
      <c r="A68" s="90"/>
      <c r="B68" s="90"/>
      <c r="C68" s="113"/>
      <c r="D68" s="12" t="s">
        <v>86</v>
      </c>
      <c r="E68" s="28">
        <v>397.58100000000002</v>
      </c>
      <c r="F68" s="28"/>
      <c r="G68" s="28"/>
      <c r="H68" s="28"/>
      <c r="I68" s="28"/>
      <c r="J68" s="28"/>
    </row>
    <row r="69" spans="1:10" ht="25.5" customHeight="1" x14ac:dyDescent="0.3">
      <c r="A69" s="90"/>
      <c r="B69" s="90"/>
      <c r="C69" s="113"/>
      <c r="D69" s="12" t="s">
        <v>102</v>
      </c>
      <c r="E69" s="28">
        <v>1139.6869999999999</v>
      </c>
      <c r="F69" s="28">
        <v>1319.3019999999999</v>
      </c>
      <c r="G69" s="28">
        <v>1100.5513699999999</v>
      </c>
      <c r="H69" s="28">
        <v>900</v>
      </c>
      <c r="I69" s="28">
        <v>900</v>
      </c>
      <c r="J69" s="28">
        <v>900</v>
      </c>
    </row>
    <row r="70" spans="1:10" ht="25.5" customHeight="1" x14ac:dyDescent="0.3">
      <c r="A70" s="90"/>
      <c r="B70" s="90"/>
      <c r="C70" s="113"/>
      <c r="D70" s="12" t="s">
        <v>161</v>
      </c>
      <c r="E70" s="28"/>
      <c r="F70" s="28">
        <f>28.096+57.6</f>
        <v>85.695999999999998</v>
      </c>
      <c r="G70" s="28">
        <v>5.5112199999999998</v>
      </c>
      <c r="H70" s="28"/>
      <c r="I70" s="28"/>
      <c r="J70" s="28"/>
    </row>
    <row r="71" spans="1:10" ht="25.5" customHeight="1" x14ac:dyDescent="0.3">
      <c r="A71" s="90"/>
      <c r="B71" s="90"/>
      <c r="C71" s="113"/>
      <c r="D71" s="12" t="s">
        <v>105</v>
      </c>
      <c r="E71" s="28">
        <v>42.704999999999998</v>
      </c>
      <c r="F71" s="28">
        <v>99.764690000000002</v>
      </c>
      <c r="G71" s="28">
        <v>14.098990000000001</v>
      </c>
      <c r="H71" s="28"/>
      <c r="I71" s="28"/>
      <c r="J71" s="28"/>
    </row>
    <row r="72" spans="1:10" ht="25.5" customHeight="1" x14ac:dyDescent="0.3">
      <c r="A72" s="90"/>
      <c r="B72" s="90"/>
      <c r="C72" s="113"/>
      <c r="D72" s="12" t="s">
        <v>106</v>
      </c>
      <c r="E72" s="28">
        <v>3.3791799999999999</v>
      </c>
      <c r="F72" s="28"/>
      <c r="G72" s="28"/>
      <c r="H72" s="28"/>
      <c r="I72" s="28"/>
      <c r="J72" s="28"/>
    </row>
    <row r="73" spans="1:10" ht="25.5" customHeight="1" x14ac:dyDescent="0.3">
      <c r="A73" s="90"/>
      <c r="B73" s="90"/>
      <c r="C73" s="113"/>
      <c r="D73" s="12" t="s">
        <v>108</v>
      </c>
      <c r="E73" s="28">
        <v>120</v>
      </c>
      <c r="F73" s="28"/>
      <c r="G73" s="28"/>
      <c r="H73" s="28"/>
      <c r="I73" s="28"/>
      <c r="J73" s="28"/>
    </row>
    <row r="74" spans="1:10" ht="25.5" customHeight="1" x14ac:dyDescent="0.3">
      <c r="A74" s="90"/>
      <c r="B74" s="90"/>
      <c r="C74" s="113"/>
      <c r="D74" s="12" t="s">
        <v>103</v>
      </c>
      <c r="E74" s="28">
        <f>336.482+133.434+125</f>
        <v>594.91600000000005</v>
      </c>
      <c r="F74" s="28">
        <f>274.488+176.6+60+289.965</f>
        <v>801.05299999999988</v>
      </c>
      <c r="G74" s="28"/>
      <c r="H74" s="28"/>
      <c r="I74" s="28"/>
      <c r="J74" s="28"/>
    </row>
    <row r="75" spans="1:10" ht="25.5" customHeight="1" x14ac:dyDescent="0.3">
      <c r="A75" s="90"/>
      <c r="B75" s="90"/>
      <c r="C75" s="113"/>
      <c r="D75" s="12" t="s">
        <v>147</v>
      </c>
      <c r="E75" s="28"/>
      <c r="F75" s="28">
        <f>21.89+90</f>
        <v>111.89</v>
      </c>
      <c r="G75" s="28">
        <v>1026.23586</v>
      </c>
      <c r="H75" s="28"/>
      <c r="I75" s="28"/>
      <c r="J75" s="28"/>
    </row>
    <row r="76" spans="1:10" ht="25.5" customHeight="1" x14ac:dyDescent="0.3">
      <c r="A76" s="90"/>
      <c r="B76" s="90"/>
      <c r="C76" s="113"/>
      <c r="D76" s="12" t="s">
        <v>198</v>
      </c>
      <c r="E76" s="28"/>
      <c r="F76" s="28"/>
      <c r="G76" s="28">
        <v>173.45</v>
      </c>
      <c r="H76" s="28"/>
      <c r="I76" s="28"/>
      <c r="J76" s="28"/>
    </row>
    <row r="77" spans="1:10" ht="25.5" customHeight="1" x14ac:dyDescent="0.3">
      <c r="A77" s="90"/>
      <c r="B77" s="90"/>
      <c r="C77" s="113"/>
      <c r="D77" s="12" t="s">
        <v>196</v>
      </c>
      <c r="E77" s="28"/>
      <c r="F77" s="28"/>
      <c r="G77" s="28">
        <f>43.462+0.688+2129.648</f>
        <v>2173.7980000000002</v>
      </c>
      <c r="H77" s="28">
        <v>1899.5530000000001</v>
      </c>
      <c r="I77" s="28">
        <v>1584.4069999999999</v>
      </c>
      <c r="J77" s="28">
        <v>4691.0290000000005</v>
      </c>
    </row>
    <row r="78" spans="1:10" ht="25.5" customHeight="1" x14ac:dyDescent="0.3">
      <c r="A78" s="90"/>
      <c r="B78" s="90"/>
      <c r="C78" s="113"/>
      <c r="D78" s="12" t="s">
        <v>167</v>
      </c>
      <c r="E78" s="28"/>
      <c r="F78" s="28"/>
      <c r="G78" s="28">
        <f>509.08318+11.95255+0.1823</f>
        <v>521.21803000000011</v>
      </c>
      <c r="H78" s="28">
        <v>4706.2049999999999</v>
      </c>
      <c r="I78" s="28">
        <v>4706.2389999999996</v>
      </c>
      <c r="J78" s="28">
        <v>4705.5159999999996</v>
      </c>
    </row>
    <row r="79" spans="1:10" ht="25.5" customHeight="1" x14ac:dyDescent="0.3">
      <c r="A79" s="90"/>
      <c r="B79" s="90"/>
      <c r="C79" s="113"/>
      <c r="D79" s="12" t="s">
        <v>195</v>
      </c>
      <c r="E79" s="28"/>
      <c r="F79" s="28"/>
      <c r="G79" s="28">
        <f>10.38945+0.1581+585.67482</f>
        <v>596.22236999999996</v>
      </c>
      <c r="H79" s="28"/>
      <c r="I79" s="28"/>
      <c r="J79" s="28"/>
    </row>
    <row r="80" spans="1:10" ht="25.5" customHeight="1" x14ac:dyDescent="0.3">
      <c r="A80" s="90"/>
      <c r="B80" s="90"/>
      <c r="C80" s="113"/>
      <c r="D80" s="12" t="s">
        <v>168</v>
      </c>
      <c r="E80" s="28"/>
      <c r="F80" s="28"/>
      <c r="G80" s="28">
        <f>1000+15.22843</f>
        <v>1015.22843</v>
      </c>
      <c r="H80" s="28">
        <v>100</v>
      </c>
      <c r="I80" s="28">
        <v>100</v>
      </c>
      <c r="J80" s="28">
        <v>100</v>
      </c>
    </row>
    <row r="81" spans="1:10" ht="25.5" customHeight="1" x14ac:dyDescent="0.3">
      <c r="A81" s="90"/>
      <c r="B81" s="90"/>
      <c r="C81" s="113"/>
      <c r="D81" s="12" t="s">
        <v>206</v>
      </c>
      <c r="E81" s="28"/>
      <c r="F81" s="28"/>
      <c r="G81" s="28">
        <f>677.1307+1672.2921</f>
        <v>2349.4227999999998</v>
      </c>
      <c r="H81" s="28"/>
      <c r="I81" s="28"/>
      <c r="J81" s="28"/>
    </row>
    <row r="82" spans="1:10" ht="25.5" customHeight="1" x14ac:dyDescent="0.3">
      <c r="A82" s="90"/>
      <c r="B82" s="90"/>
      <c r="C82" s="113"/>
      <c r="D82" s="12" t="s">
        <v>214</v>
      </c>
      <c r="E82" s="28"/>
      <c r="F82" s="28"/>
      <c r="G82" s="28">
        <v>245</v>
      </c>
      <c r="H82" s="28"/>
      <c r="I82" s="28"/>
      <c r="J82" s="28"/>
    </row>
    <row r="83" spans="1:10" ht="25.5" customHeight="1" x14ac:dyDescent="0.3">
      <c r="A83" s="90"/>
      <c r="B83" s="90"/>
      <c r="C83" s="113"/>
      <c r="D83" s="12" t="s">
        <v>114</v>
      </c>
      <c r="E83" s="28">
        <v>100</v>
      </c>
      <c r="F83" s="28"/>
      <c r="G83" s="28"/>
      <c r="H83" s="28"/>
      <c r="I83" s="28"/>
      <c r="J83" s="28"/>
    </row>
    <row r="84" spans="1:10" ht="25.5" customHeight="1" x14ac:dyDescent="0.3">
      <c r="A84" s="90"/>
      <c r="B84" s="90"/>
      <c r="C84" s="113"/>
      <c r="D84" s="12" t="s">
        <v>162</v>
      </c>
      <c r="E84" s="28"/>
      <c r="F84" s="28">
        <f>45+45.11</f>
        <v>90.11</v>
      </c>
      <c r="G84" s="28"/>
      <c r="H84" s="28"/>
      <c r="I84" s="28"/>
      <c r="J84" s="28"/>
    </row>
    <row r="85" spans="1:10" ht="25.5" customHeight="1" x14ac:dyDescent="0.3">
      <c r="A85" s="90"/>
      <c r="B85" s="90"/>
      <c r="C85" s="113"/>
      <c r="D85" s="78" t="s">
        <v>204</v>
      </c>
      <c r="E85" s="79"/>
      <c r="F85" s="79"/>
      <c r="G85" s="79">
        <f>181.98837+1.53848+1031.2663</f>
        <v>1214.79315</v>
      </c>
      <c r="H85" s="79">
        <v>2559.38</v>
      </c>
      <c r="I85" s="79">
        <v>2591.4</v>
      </c>
      <c r="J85" s="79">
        <v>2504.4</v>
      </c>
    </row>
    <row r="86" spans="1:10" ht="30" customHeight="1" x14ac:dyDescent="0.3">
      <c r="A86" s="90"/>
      <c r="B86" s="90"/>
      <c r="C86" s="113"/>
      <c r="D86" s="12" t="s">
        <v>87</v>
      </c>
      <c r="E86" s="28">
        <f>1812.00414+135.189+2552.4735+219.96+1742.79517+224.995+48.398+1.531+263.354+1967.85+15</f>
        <v>8983.5498100000004</v>
      </c>
      <c r="F86" s="28">
        <f>82.6+23.655+23.744+2818.88922+116.37+1808.1921+342.261+1966.8148+374.23127+2399.907+0.04159</f>
        <v>9956.7059800000025</v>
      </c>
      <c r="G86" s="28">
        <f>721.7379+2262.59616+266.74+87+949.15205+3.5+510.15633+1211.9699+900</f>
        <v>6912.8523399999995</v>
      </c>
      <c r="H86" s="28">
        <v>5000</v>
      </c>
      <c r="I86" s="28">
        <v>2000</v>
      </c>
      <c r="J86" s="28">
        <v>2000</v>
      </c>
    </row>
    <row r="87" spans="1:10" ht="19.5" customHeight="1" x14ac:dyDescent="0.3">
      <c r="A87" s="90"/>
      <c r="B87" s="88" t="s">
        <v>37</v>
      </c>
      <c r="C87" s="14" t="s">
        <v>5</v>
      </c>
      <c r="D87" s="14"/>
      <c r="E87" s="42">
        <f>E89+E91+E92+E93+E94+E97+E102+E103+E104+E105+E106+E118+E108</f>
        <v>13929.365709999998</v>
      </c>
      <c r="F87" s="42">
        <f>F89+F90+F91+F92+F93+F94+F95+F96+F97+F99+F100+F102+F103+F104+F105+F106+F108+F110+F111+F112+F113+F114+F116+F118+F115</f>
        <v>23290.669940000003</v>
      </c>
      <c r="G87" s="42">
        <f>SUM(G89:G118)</f>
        <v>16306.558039999998</v>
      </c>
      <c r="H87" s="42">
        <f t="shared" ref="H87:J87" si="9">SUM(H89:H118)</f>
        <v>14795</v>
      </c>
      <c r="I87" s="42">
        <f t="shared" si="9"/>
        <v>7795</v>
      </c>
      <c r="J87" s="42">
        <f t="shared" si="9"/>
        <v>7795</v>
      </c>
    </row>
    <row r="88" spans="1:10" ht="28.5" customHeight="1" x14ac:dyDescent="0.3">
      <c r="A88" s="90"/>
      <c r="B88" s="89"/>
      <c r="C88" s="6" t="s">
        <v>6</v>
      </c>
      <c r="D88" s="19"/>
      <c r="E88" s="28"/>
      <c r="F88" s="28"/>
      <c r="G88" s="28"/>
      <c r="H88" s="28"/>
      <c r="I88" s="28"/>
      <c r="J88" s="28"/>
    </row>
    <row r="89" spans="1:10" ht="22.5" customHeight="1" x14ac:dyDescent="0.3">
      <c r="A89" s="90"/>
      <c r="B89" s="89"/>
      <c r="C89" s="37"/>
      <c r="D89" s="12" t="s">
        <v>88</v>
      </c>
      <c r="E89" s="28">
        <v>4381.3958300000004</v>
      </c>
      <c r="F89" s="28">
        <v>4643.4066800000001</v>
      </c>
      <c r="G89" s="28">
        <f>5012.01427</f>
        <v>5012.0142699999997</v>
      </c>
      <c r="H89" s="28">
        <v>5814.9</v>
      </c>
      <c r="I89" s="28">
        <v>2743</v>
      </c>
      <c r="J89" s="28">
        <v>2743</v>
      </c>
    </row>
    <row r="90" spans="1:10" ht="22.5" customHeight="1" x14ac:dyDescent="0.3">
      <c r="A90" s="90"/>
      <c r="B90" s="89"/>
      <c r="C90" s="70"/>
      <c r="D90" s="12" t="s">
        <v>130</v>
      </c>
      <c r="E90" s="28"/>
      <c r="F90" s="28">
        <v>12.9642</v>
      </c>
      <c r="G90" s="28">
        <v>10.716049999999999</v>
      </c>
      <c r="H90" s="28"/>
      <c r="I90" s="28"/>
      <c r="J90" s="28"/>
    </row>
    <row r="91" spans="1:10" ht="15" customHeight="1" x14ac:dyDescent="0.3">
      <c r="A91" s="90"/>
      <c r="B91" s="89"/>
      <c r="C91" s="112" t="s">
        <v>7</v>
      </c>
      <c r="D91" s="12" t="s">
        <v>131</v>
      </c>
      <c r="E91" s="28">
        <v>1454.6041700000001</v>
      </c>
      <c r="F91" s="28">
        <v>1395.7472</v>
      </c>
      <c r="G91" s="28">
        <f>121.95465+1414.08569</f>
        <v>1536.04034</v>
      </c>
      <c r="H91" s="28">
        <v>1756.1</v>
      </c>
      <c r="I91" s="28">
        <v>828</v>
      </c>
      <c r="J91" s="28">
        <v>828</v>
      </c>
    </row>
    <row r="92" spans="1:10" ht="24" customHeight="1" x14ac:dyDescent="0.3">
      <c r="A92" s="90"/>
      <c r="B92" s="90"/>
      <c r="C92" s="113"/>
      <c r="D92" s="12" t="s">
        <v>132</v>
      </c>
      <c r="E92" s="28">
        <v>26.136019999999998</v>
      </c>
      <c r="F92" s="28">
        <v>24</v>
      </c>
      <c r="G92" s="28">
        <v>18.905110000000001</v>
      </c>
      <c r="H92" s="28">
        <v>28</v>
      </c>
      <c r="I92" s="28"/>
      <c r="J92" s="28"/>
    </row>
    <row r="93" spans="1:10" ht="18" customHeight="1" x14ac:dyDescent="0.3">
      <c r="A93" s="90"/>
      <c r="B93" s="90"/>
      <c r="C93" s="113"/>
      <c r="D93" s="12" t="s">
        <v>133</v>
      </c>
      <c r="E93" s="28">
        <f>62.05171+612.97415+44.8547+1125.6343+533.6883</f>
        <v>2379.20316</v>
      </c>
      <c r="F93" s="28">
        <f>68.6216+757.33754+47.34411+1288.21362+558.85258</f>
        <v>2720.3694500000001</v>
      </c>
      <c r="G93" s="28">
        <f>214.04018+2226.1295</f>
        <v>2440.16968</v>
      </c>
      <c r="H93" s="28">
        <v>2721</v>
      </c>
      <c r="I93" s="28">
        <v>2015.1</v>
      </c>
      <c r="J93" s="28">
        <v>2015.1</v>
      </c>
    </row>
    <row r="94" spans="1:10" ht="20.25" customHeight="1" x14ac:dyDescent="0.3">
      <c r="A94" s="90"/>
      <c r="B94" s="90"/>
      <c r="C94" s="113"/>
      <c r="D94" s="12" t="s">
        <v>134</v>
      </c>
      <c r="E94" s="28">
        <f>10.52067+1.14861+8.142+68.15618+142.396+3.60769+75.68547</f>
        <v>309.65661999999998</v>
      </c>
      <c r="F94" s="28">
        <f>38.82151+1.6848+12.34802+24.86045+20.099+24.573+79.383</f>
        <v>201.76978000000003</v>
      </c>
      <c r="G94" s="28">
        <v>411.25576999999998</v>
      </c>
      <c r="H94" s="28">
        <v>200</v>
      </c>
      <c r="I94" s="28"/>
      <c r="J94" s="28"/>
    </row>
    <row r="95" spans="1:10" ht="20.25" customHeight="1" x14ac:dyDescent="0.3">
      <c r="A95" s="90"/>
      <c r="B95" s="90"/>
      <c r="C95" s="113"/>
      <c r="D95" s="12" t="s">
        <v>139</v>
      </c>
      <c r="E95" s="28"/>
      <c r="F95" s="28">
        <f>61+76.434+3410.8</f>
        <v>3548.2340000000004</v>
      </c>
      <c r="G95" s="28"/>
      <c r="H95" s="28"/>
      <c r="I95" s="28"/>
      <c r="J95" s="28"/>
    </row>
    <row r="96" spans="1:10" ht="20.25" customHeight="1" x14ac:dyDescent="0.3">
      <c r="A96" s="90"/>
      <c r="B96" s="90"/>
      <c r="C96" s="113"/>
      <c r="D96" s="12" t="s">
        <v>143</v>
      </c>
      <c r="E96" s="28"/>
      <c r="F96" s="28">
        <f>14.911+1491.1</f>
        <v>1506.011</v>
      </c>
      <c r="G96" s="28"/>
      <c r="H96" s="28"/>
      <c r="I96" s="28"/>
      <c r="J96" s="28"/>
    </row>
    <row r="97" spans="1:10" ht="21" customHeight="1" x14ac:dyDescent="0.3">
      <c r="A97" s="90"/>
      <c r="B97" s="90"/>
      <c r="C97" s="113"/>
      <c r="D97" s="12" t="s">
        <v>135</v>
      </c>
      <c r="E97" s="28">
        <f>53.2+130.92319+24.08155+220.16776+100+25.942</f>
        <v>554.31449999999995</v>
      </c>
      <c r="F97" s="28">
        <f>51.91008+1.8+547.91021+26.435+0.38+48.527+8.65002</f>
        <v>685.61230999999998</v>
      </c>
      <c r="G97" s="28">
        <v>564.84461999999996</v>
      </c>
      <c r="H97" s="28">
        <v>200</v>
      </c>
      <c r="I97" s="28"/>
      <c r="J97" s="28"/>
    </row>
    <row r="98" spans="1:10" ht="21" customHeight="1" x14ac:dyDescent="0.3">
      <c r="A98" s="90"/>
      <c r="B98" s="90"/>
      <c r="C98" s="113"/>
      <c r="D98" s="12" t="s">
        <v>185</v>
      </c>
      <c r="E98" s="28"/>
      <c r="F98" s="28"/>
      <c r="G98" s="28">
        <v>2</v>
      </c>
      <c r="H98" s="28"/>
      <c r="I98" s="28"/>
      <c r="J98" s="28"/>
    </row>
    <row r="99" spans="1:10" ht="21" customHeight="1" x14ac:dyDescent="0.3">
      <c r="A99" s="90"/>
      <c r="B99" s="90"/>
      <c r="C99" s="113"/>
      <c r="D99" s="12" t="s">
        <v>144</v>
      </c>
      <c r="E99" s="28"/>
      <c r="F99" s="28">
        <v>20</v>
      </c>
      <c r="G99" s="28"/>
      <c r="H99" s="28"/>
      <c r="I99" s="28"/>
      <c r="J99" s="28"/>
    </row>
    <row r="100" spans="1:10" ht="21" customHeight="1" x14ac:dyDescent="0.3">
      <c r="A100" s="90"/>
      <c r="B100" s="90"/>
      <c r="C100" s="113"/>
      <c r="D100" s="12" t="s">
        <v>201</v>
      </c>
      <c r="E100" s="28"/>
      <c r="F100" s="28">
        <f>1.20993+2.99099+1000</f>
        <v>1004.20092</v>
      </c>
      <c r="G100" s="28">
        <f>13.531+1728.6</f>
        <v>1742.1309999999999</v>
      </c>
      <c r="H100" s="28"/>
      <c r="I100" s="28"/>
      <c r="J100" s="28"/>
    </row>
    <row r="101" spans="1:10" ht="21" customHeight="1" x14ac:dyDescent="0.3">
      <c r="A101" s="90"/>
      <c r="B101" s="90"/>
      <c r="C101" s="113"/>
      <c r="D101" s="12" t="s">
        <v>192</v>
      </c>
      <c r="E101" s="28"/>
      <c r="F101" s="28"/>
      <c r="G101" s="28">
        <v>23.674499999999998</v>
      </c>
      <c r="H101" s="28"/>
      <c r="I101" s="28"/>
      <c r="J101" s="28"/>
    </row>
    <row r="102" spans="1:10" ht="23.25" customHeight="1" x14ac:dyDescent="0.3">
      <c r="A102" s="90"/>
      <c r="B102" s="90"/>
      <c r="C102" s="113"/>
      <c r="D102" s="12" t="s">
        <v>136</v>
      </c>
      <c r="E102" s="28">
        <v>70</v>
      </c>
      <c r="F102" s="28"/>
      <c r="G102" s="28"/>
      <c r="H102" s="28"/>
      <c r="I102" s="28"/>
      <c r="J102" s="28"/>
    </row>
    <row r="103" spans="1:10" ht="15.75" customHeight="1" x14ac:dyDescent="0.3">
      <c r="A103" s="90"/>
      <c r="B103" s="90"/>
      <c r="C103" s="113"/>
      <c r="D103" s="12" t="s">
        <v>137</v>
      </c>
      <c r="E103" s="28">
        <v>121.386</v>
      </c>
      <c r="F103" s="28"/>
      <c r="G103" s="28">
        <v>549.61900000000003</v>
      </c>
      <c r="H103" s="28">
        <v>400</v>
      </c>
      <c r="I103" s="28">
        <v>400</v>
      </c>
      <c r="J103" s="28">
        <v>400</v>
      </c>
    </row>
    <row r="104" spans="1:10" ht="15.75" customHeight="1" x14ac:dyDescent="0.3">
      <c r="A104" s="90"/>
      <c r="B104" s="90"/>
      <c r="C104" s="113"/>
      <c r="D104" s="12" t="s">
        <v>137</v>
      </c>
      <c r="E104" s="28">
        <v>360.238</v>
      </c>
      <c r="F104" s="28">
        <v>461.26299999999998</v>
      </c>
      <c r="G104" s="28"/>
      <c r="H104" s="28"/>
      <c r="I104" s="28"/>
      <c r="J104" s="28"/>
    </row>
    <row r="105" spans="1:10" ht="15.75" customHeight="1" x14ac:dyDescent="0.3">
      <c r="A105" s="90"/>
      <c r="B105" s="90"/>
      <c r="C105" s="113"/>
      <c r="D105" s="12" t="s">
        <v>193</v>
      </c>
      <c r="E105" s="28">
        <v>2.60623</v>
      </c>
      <c r="F105" s="28"/>
      <c r="G105" s="28">
        <v>0.23075999999999999</v>
      </c>
      <c r="H105" s="28"/>
      <c r="I105" s="28"/>
      <c r="J105" s="28"/>
    </row>
    <row r="106" spans="1:10" ht="15.75" customHeight="1" x14ac:dyDescent="0.3">
      <c r="A106" s="90"/>
      <c r="B106" s="90"/>
      <c r="C106" s="113"/>
      <c r="D106" s="12" t="s">
        <v>194</v>
      </c>
      <c r="E106" s="28">
        <v>8.7675999999999998</v>
      </c>
      <c r="F106" s="28"/>
      <c r="G106" s="28">
        <v>29.2775</v>
      </c>
      <c r="H106" s="28"/>
      <c r="I106" s="28"/>
      <c r="J106" s="28"/>
    </row>
    <row r="107" spans="1:10" ht="15.75" customHeight="1" x14ac:dyDescent="0.3">
      <c r="A107" s="90"/>
      <c r="B107" s="90"/>
      <c r="C107" s="113"/>
      <c r="D107" s="12" t="s">
        <v>136</v>
      </c>
      <c r="E107" s="28"/>
      <c r="F107" s="28"/>
      <c r="G107" s="28">
        <v>5.9712100000000001</v>
      </c>
      <c r="H107" s="28"/>
      <c r="I107" s="28"/>
      <c r="J107" s="28"/>
    </row>
    <row r="108" spans="1:10" ht="15.75" customHeight="1" x14ac:dyDescent="0.3">
      <c r="A108" s="90"/>
      <c r="B108" s="90"/>
      <c r="C108" s="113"/>
      <c r="D108" s="12" t="s">
        <v>138</v>
      </c>
      <c r="E108" s="28">
        <f>42+20+25</f>
        <v>87</v>
      </c>
      <c r="F108" s="28">
        <f>89.715+166</f>
        <v>255.715</v>
      </c>
      <c r="G108" s="28">
        <v>322.28500000000003</v>
      </c>
      <c r="H108" s="28"/>
      <c r="I108" s="28"/>
      <c r="J108" s="28"/>
    </row>
    <row r="109" spans="1:10" ht="15.75" customHeight="1" x14ac:dyDescent="0.3">
      <c r="A109" s="90"/>
      <c r="B109" s="90"/>
      <c r="C109" s="113"/>
      <c r="D109" s="12" t="s">
        <v>186</v>
      </c>
      <c r="E109" s="28"/>
      <c r="F109" s="28"/>
      <c r="G109" s="28">
        <v>90</v>
      </c>
      <c r="H109" s="28"/>
      <c r="I109" s="28"/>
      <c r="J109" s="28"/>
    </row>
    <row r="110" spans="1:10" ht="15.75" customHeight="1" x14ac:dyDescent="0.3">
      <c r="A110" s="90"/>
      <c r="B110" s="90"/>
      <c r="C110" s="113"/>
      <c r="D110" s="12" t="s">
        <v>140</v>
      </c>
      <c r="E110" s="28"/>
      <c r="F110" s="28">
        <v>91.616</v>
      </c>
      <c r="G110" s="28"/>
      <c r="H110" s="28"/>
      <c r="I110" s="28"/>
      <c r="J110" s="28"/>
    </row>
    <row r="111" spans="1:10" ht="15.75" customHeight="1" x14ac:dyDescent="0.3">
      <c r="A111" s="90"/>
      <c r="B111" s="90"/>
      <c r="C111" s="113"/>
      <c r="D111" s="12" t="s">
        <v>158</v>
      </c>
      <c r="E111" s="28"/>
      <c r="F111" s="28">
        <f>1175.7+11.757</f>
        <v>1187.4570000000001</v>
      </c>
      <c r="G111" s="28"/>
      <c r="H111" s="28"/>
      <c r="I111" s="28"/>
      <c r="J111" s="28"/>
    </row>
    <row r="112" spans="1:10" ht="15.75" customHeight="1" x14ac:dyDescent="0.3">
      <c r="A112" s="90"/>
      <c r="B112" s="90"/>
      <c r="C112" s="113"/>
      <c r="D112" s="12" t="s">
        <v>141</v>
      </c>
      <c r="E112" s="28"/>
      <c r="F112" s="28">
        <f>25+25+11+40</f>
        <v>101</v>
      </c>
      <c r="G112" s="28"/>
      <c r="H112" s="28"/>
      <c r="I112" s="28"/>
      <c r="J112" s="28"/>
    </row>
    <row r="113" spans="1:10" ht="15.75" customHeight="1" x14ac:dyDescent="0.3">
      <c r="A113" s="90"/>
      <c r="B113" s="90"/>
      <c r="C113" s="113"/>
      <c r="D113" s="12" t="s">
        <v>142</v>
      </c>
      <c r="E113" s="28"/>
      <c r="F113" s="28">
        <v>991.77499999999998</v>
      </c>
      <c r="G113" s="28"/>
      <c r="H113" s="28"/>
      <c r="I113" s="28"/>
      <c r="J113" s="28"/>
    </row>
    <row r="114" spans="1:10" ht="15.75" customHeight="1" x14ac:dyDescent="0.3">
      <c r="A114" s="90"/>
      <c r="B114" s="90"/>
      <c r="C114" s="113"/>
      <c r="D114" s="12" t="s">
        <v>191</v>
      </c>
      <c r="E114" s="28"/>
      <c r="F114" s="28">
        <v>24.26</v>
      </c>
      <c r="G114" s="28">
        <v>25.395019999999999</v>
      </c>
      <c r="H114" s="28"/>
      <c r="I114" s="28"/>
      <c r="J114" s="28"/>
    </row>
    <row r="115" spans="1:10" ht="15.75" customHeight="1" x14ac:dyDescent="0.3">
      <c r="A115" s="90"/>
      <c r="B115" s="90"/>
      <c r="C115" s="113"/>
      <c r="D115" s="12" t="s">
        <v>190</v>
      </c>
      <c r="E115" s="28"/>
      <c r="F115" s="28">
        <v>134.4</v>
      </c>
      <c r="G115" s="28">
        <v>266</v>
      </c>
      <c r="H115" s="28"/>
      <c r="I115" s="28"/>
      <c r="J115" s="28"/>
    </row>
    <row r="116" spans="1:10" ht="15.75" customHeight="1" x14ac:dyDescent="0.3">
      <c r="A116" s="90"/>
      <c r="B116" s="90"/>
      <c r="C116" s="113"/>
      <c r="D116" s="12" t="s">
        <v>189</v>
      </c>
      <c r="E116" s="28"/>
      <c r="F116" s="28">
        <f>54.6+104.27</f>
        <v>158.87</v>
      </c>
      <c r="G116" s="28">
        <v>81.795019999999994</v>
      </c>
      <c r="H116" s="28">
        <v>70</v>
      </c>
      <c r="I116" s="28"/>
      <c r="J116" s="28"/>
    </row>
    <row r="117" spans="1:10" ht="15.75" customHeight="1" x14ac:dyDescent="0.3">
      <c r="A117" s="90"/>
      <c r="B117" s="90"/>
      <c r="C117" s="113"/>
      <c r="D117" s="12" t="s">
        <v>188</v>
      </c>
      <c r="E117" s="28"/>
      <c r="F117" s="28"/>
      <c r="G117" s="28">
        <v>165.3</v>
      </c>
      <c r="H117" s="28">
        <v>100</v>
      </c>
      <c r="I117" s="28"/>
      <c r="J117" s="28"/>
    </row>
    <row r="118" spans="1:10" ht="21" customHeight="1" x14ac:dyDescent="0.3">
      <c r="A118" s="91"/>
      <c r="B118" s="91"/>
      <c r="C118" s="126"/>
      <c r="D118" s="12" t="s">
        <v>187</v>
      </c>
      <c r="E118" s="28">
        <f>587.805+1633.95958+18.422+87.871+1816+16.8+13.2</f>
        <v>4174.0575800000006</v>
      </c>
      <c r="F118" s="28">
        <f>360.06453+2118.60987+1643.324</f>
        <v>4121.9984000000004</v>
      </c>
      <c r="G118" s="28">
        <f>1198.25502+1810.67817</f>
        <v>3008.9331899999997</v>
      </c>
      <c r="H118" s="28">
        <f>3435.9+69.1</f>
        <v>3505</v>
      </c>
      <c r="I118" s="28">
        <v>1808.9</v>
      </c>
      <c r="J118" s="28">
        <v>1808.9</v>
      </c>
    </row>
    <row r="119" spans="1:10" ht="21" customHeight="1" x14ac:dyDescent="0.3">
      <c r="A119" s="93" t="s">
        <v>18</v>
      </c>
      <c r="B119" s="88" t="s">
        <v>19</v>
      </c>
      <c r="C119" s="17" t="s">
        <v>5</v>
      </c>
      <c r="D119" s="17"/>
      <c r="E119" s="61">
        <f>E121</f>
        <v>276.73845</v>
      </c>
      <c r="F119" s="61">
        <f>F121</f>
        <v>1399.37499</v>
      </c>
      <c r="G119" s="61">
        <f>G121+G130</f>
        <v>1086.8510000000001</v>
      </c>
      <c r="H119" s="61">
        <f>H121+H130</f>
        <v>1479</v>
      </c>
      <c r="I119" s="61">
        <f>I121+I130</f>
        <v>1480.3</v>
      </c>
      <c r="J119" s="61">
        <f>J121+J130</f>
        <v>1481.5</v>
      </c>
    </row>
    <row r="120" spans="1:10" ht="30" customHeight="1" x14ac:dyDescent="0.3">
      <c r="A120" s="94"/>
      <c r="B120" s="89"/>
      <c r="C120" s="10" t="s">
        <v>11</v>
      </c>
      <c r="D120" s="10"/>
      <c r="E120" s="60"/>
      <c r="F120" s="60"/>
      <c r="G120" s="45"/>
      <c r="H120" s="60"/>
      <c r="I120" s="60"/>
      <c r="J120" s="60"/>
    </row>
    <row r="121" spans="1:10" ht="21" customHeight="1" x14ac:dyDescent="0.3">
      <c r="A121" s="94"/>
      <c r="B121" s="89"/>
      <c r="C121" s="10" t="s">
        <v>12</v>
      </c>
      <c r="D121" s="10"/>
      <c r="E121" s="45">
        <f>E123+E124+E125+E127+E128+E130</f>
        <v>276.73845</v>
      </c>
      <c r="F121" s="45">
        <f>F122+F123+F124+F125+F126+F128+F129+F130</f>
        <v>1399.37499</v>
      </c>
      <c r="G121" s="45">
        <f>G122+G123+G124+G125+G126+G127+G128+G129+G130</f>
        <v>1086.8510000000001</v>
      </c>
      <c r="H121" s="45">
        <f>H123+H124+H125+H126+H127+H128+H129+H130</f>
        <v>1479</v>
      </c>
      <c r="I121" s="45">
        <f t="shared" ref="I121:J121" si="10">I123+I124+I125+I126+I127+I128+I129+I130</f>
        <v>1480.3</v>
      </c>
      <c r="J121" s="45">
        <f t="shared" si="10"/>
        <v>1481.5</v>
      </c>
    </row>
    <row r="122" spans="1:10" ht="21" customHeight="1" x14ac:dyDescent="0.3">
      <c r="A122" s="94"/>
      <c r="B122" s="89"/>
      <c r="C122" s="11" t="s">
        <v>6</v>
      </c>
      <c r="D122" s="10" t="s">
        <v>149</v>
      </c>
      <c r="E122" s="60"/>
      <c r="F122" s="60">
        <f>248.262+87.717</f>
        <v>335.97899999999998</v>
      </c>
      <c r="G122" s="45">
        <f>54.38232+115.08</f>
        <v>169.46232000000001</v>
      </c>
      <c r="H122" s="59"/>
      <c r="I122" s="59"/>
      <c r="J122" s="59"/>
    </row>
    <row r="123" spans="1:10" ht="27" customHeight="1" x14ac:dyDescent="0.3">
      <c r="A123" s="94"/>
      <c r="B123" s="89"/>
      <c r="C123" s="112" t="s">
        <v>7</v>
      </c>
      <c r="D123" s="6" t="s">
        <v>109</v>
      </c>
      <c r="E123" s="45">
        <f>6.09135+31.08651</f>
        <v>37.177860000000003</v>
      </c>
      <c r="F123" s="45">
        <f>5.0976+31.1716</f>
        <v>36.269199999999998</v>
      </c>
      <c r="G123" s="45">
        <v>42.644599999999997</v>
      </c>
      <c r="H123" s="45">
        <v>50</v>
      </c>
      <c r="I123" s="45">
        <v>50</v>
      </c>
      <c r="J123" s="45">
        <v>50</v>
      </c>
    </row>
    <row r="124" spans="1:10" ht="21" customHeight="1" x14ac:dyDescent="0.3">
      <c r="A124" s="94"/>
      <c r="B124" s="89"/>
      <c r="C124" s="113"/>
      <c r="D124" s="6" t="s">
        <v>110</v>
      </c>
      <c r="E124" s="45">
        <f>23.357+23.2</f>
        <v>46.557000000000002</v>
      </c>
      <c r="F124" s="45">
        <f>23.14846</f>
        <v>23.14846</v>
      </c>
      <c r="G124" s="45">
        <f>82.6+55.74324</f>
        <v>138.34323999999998</v>
      </c>
      <c r="H124" s="45">
        <v>33</v>
      </c>
      <c r="I124" s="45">
        <v>33</v>
      </c>
      <c r="J124" s="45">
        <v>33</v>
      </c>
    </row>
    <row r="125" spans="1:10" ht="21" customHeight="1" x14ac:dyDescent="0.3">
      <c r="A125" s="94"/>
      <c r="B125" s="89"/>
      <c r="C125" s="114"/>
      <c r="D125" s="6" t="s">
        <v>111</v>
      </c>
      <c r="E125" s="45">
        <v>26.615200000000002</v>
      </c>
      <c r="F125" s="45">
        <f>33.4+24</f>
        <v>57.4</v>
      </c>
      <c r="G125" s="45">
        <v>6</v>
      </c>
      <c r="H125" s="45">
        <v>27</v>
      </c>
      <c r="I125" s="45">
        <v>27.8</v>
      </c>
      <c r="J125" s="45">
        <v>29</v>
      </c>
    </row>
    <row r="126" spans="1:10" ht="21" customHeight="1" x14ac:dyDescent="0.3">
      <c r="A126" s="94"/>
      <c r="B126" s="89"/>
      <c r="C126" s="114"/>
      <c r="D126" s="6" t="s">
        <v>173</v>
      </c>
      <c r="E126" s="45"/>
      <c r="F126" s="45">
        <f>23.764</f>
        <v>23.763999999999999</v>
      </c>
      <c r="G126" s="45">
        <v>16.62</v>
      </c>
      <c r="H126" s="45">
        <v>60</v>
      </c>
      <c r="I126" s="45">
        <v>60</v>
      </c>
      <c r="J126" s="45">
        <v>60</v>
      </c>
    </row>
    <row r="127" spans="1:10" ht="21" customHeight="1" x14ac:dyDescent="0.3">
      <c r="A127" s="94"/>
      <c r="B127" s="89"/>
      <c r="C127" s="114"/>
      <c r="D127" s="6" t="s">
        <v>109</v>
      </c>
      <c r="E127" s="45">
        <f>56+69.82714+26.891</f>
        <v>152.71814000000001</v>
      </c>
      <c r="F127" s="45"/>
      <c r="G127" s="45"/>
      <c r="H127" s="45">
        <v>40</v>
      </c>
      <c r="I127" s="45">
        <v>40</v>
      </c>
      <c r="J127" s="45">
        <v>40</v>
      </c>
    </row>
    <row r="128" spans="1:10" ht="28.5" customHeight="1" x14ac:dyDescent="0.3">
      <c r="A128" s="94"/>
      <c r="B128" s="89"/>
      <c r="C128" s="115"/>
      <c r="D128" s="6" t="s">
        <v>112</v>
      </c>
      <c r="E128" s="45">
        <f>6.747+6.92325</f>
        <v>13.670249999999999</v>
      </c>
      <c r="F128" s="45">
        <f>19.215+12.965+75.5</f>
        <v>107.68</v>
      </c>
      <c r="G128" s="45">
        <v>369.43099999999998</v>
      </c>
      <c r="H128" s="45">
        <v>100</v>
      </c>
      <c r="I128" s="45">
        <v>100</v>
      </c>
      <c r="J128" s="45">
        <v>100</v>
      </c>
    </row>
    <row r="129" spans="1:10" ht="28.5" customHeight="1" x14ac:dyDescent="0.3">
      <c r="A129" s="94"/>
      <c r="B129" s="89"/>
      <c r="C129" s="71"/>
      <c r="D129" s="6" t="s">
        <v>113</v>
      </c>
      <c r="E129" s="45">
        <f>180+62.0678+0.025+388.94395+23.94</f>
        <v>654.97675000000004</v>
      </c>
      <c r="F129" s="45">
        <f>103.6596+28.81173+22.02+656.238+0.001</f>
        <v>810.73033000000009</v>
      </c>
      <c r="G129" s="45">
        <f>66+9.099+74.51084+194.74</f>
        <v>344.34984000000003</v>
      </c>
      <c r="H129" s="45">
        <f>1119+50</f>
        <v>1169</v>
      </c>
      <c r="I129" s="45">
        <f>1119.5+50</f>
        <v>1169.5</v>
      </c>
      <c r="J129" s="45">
        <f>1119.5+50</f>
        <v>1169.5</v>
      </c>
    </row>
    <row r="130" spans="1:10" ht="28.5" customHeight="1" x14ac:dyDescent="0.3">
      <c r="A130" s="91"/>
      <c r="B130" s="91"/>
      <c r="C130" s="67"/>
      <c r="D130" s="6" t="s">
        <v>164</v>
      </c>
      <c r="E130" s="45"/>
      <c r="F130" s="45">
        <f>4.404</f>
        <v>4.4039999999999999</v>
      </c>
      <c r="G130" s="45"/>
      <c r="H130" s="45"/>
      <c r="I130" s="45"/>
      <c r="J130" s="45"/>
    </row>
    <row r="131" spans="1:10" x14ac:dyDescent="0.3">
      <c r="A131" s="92" t="s">
        <v>10</v>
      </c>
      <c r="B131" s="92" t="s">
        <v>34</v>
      </c>
      <c r="C131" s="16" t="s">
        <v>5</v>
      </c>
      <c r="D131" s="16"/>
      <c r="E131" s="33">
        <f t="shared" ref="E131:J131" si="11">E136+E138</f>
        <v>14165.527999999998</v>
      </c>
      <c r="F131" s="33">
        <f t="shared" si="11"/>
        <v>17423.237520000002</v>
      </c>
      <c r="G131" s="33">
        <f t="shared" si="11"/>
        <v>14925.683779999999</v>
      </c>
      <c r="H131" s="33">
        <f t="shared" si="11"/>
        <v>14508</v>
      </c>
      <c r="I131" s="33">
        <f t="shared" si="11"/>
        <v>14508</v>
      </c>
      <c r="J131" s="33">
        <f t="shared" si="11"/>
        <v>14508</v>
      </c>
    </row>
    <row r="132" spans="1:10" x14ac:dyDescent="0.3">
      <c r="A132" s="92"/>
      <c r="B132" s="92"/>
      <c r="C132" s="6" t="s">
        <v>6</v>
      </c>
      <c r="D132" s="6"/>
      <c r="E132" s="60"/>
      <c r="F132" s="60"/>
      <c r="G132" s="28"/>
      <c r="H132" s="60"/>
      <c r="I132" s="60"/>
      <c r="J132" s="60"/>
    </row>
    <row r="133" spans="1:10" ht="42" x14ac:dyDescent="0.3">
      <c r="A133" s="92"/>
      <c r="B133" s="92"/>
      <c r="C133" s="6" t="s">
        <v>7</v>
      </c>
      <c r="D133" s="6"/>
      <c r="E133" s="28"/>
      <c r="F133" s="28"/>
      <c r="G133" s="28"/>
      <c r="H133" s="28"/>
      <c r="I133" s="28"/>
      <c r="J133" s="28"/>
    </row>
    <row r="134" spans="1:10" ht="15.75" customHeight="1" x14ac:dyDescent="0.3">
      <c r="A134" s="88" t="s">
        <v>21</v>
      </c>
      <c r="B134" s="88" t="s">
        <v>181</v>
      </c>
      <c r="C134" s="6" t="s">
        <v>5</v>
      </c>
      <c r="D134" s="6"/>
      <c r="E134" s="28"/>
      <c r="F134" s="28"/>
      <c r="G134" s="28"/>
      <c r="H134" s="28"/>
      <c r="I134" s="28"/>
      <c r="J134" s="28"/>
    </row>
    <row r="135" spans="1:10" x14ac:dyDescent="0.3">
      <c r="A135" s="97"/>
      <c r="B135" s="89"/>
      <c r="C135" s="6" t="s">
        <v>6</v>
      </c>
      <c r="D135" s="6"/>
      <c r="E135" s="60"/>
      <c r="F135" s="60"/>
      <c r="G135" s="28"/>
      <c r="H135" s="60"/>
      <c r="I135" s="60"/>
      <c r="J135" s="60"/>
    </row>
    <row r="136" spans="1:10" x14ac:dyDescent="0.3">
      <c r="A136" s="97"/>
      <c r="B136" s="89"/>
      <c r="C136" s="37"/>
      <c r="D136" s="12" t="s">
        <v>227</v>
      </c>
      <c r="E136" s="60">
        <f>626.407+7959.758</f>
        <v>8586.1649999999991</v>
      </c>
      <c r="F136" s="60">
        <f>9355.734+110+689.5884+29</f>
        <v>10184.322400000001</v>
      </c>
      <c r="G136" s="28">
        <f>8419.0336+223.832+4.568+60+156.525+0.0696+110</f>
        <v>8974.0282000000007</v>
      </c>
      <c r="H136" s="28">
        <v>8690</v>
      </c>
      <c r="I136" s="28">
        <v>8690</v>
      </c>
      <c r="J136" s="28">
        <v>8690</v>
      </c>
    </row>
    <row r="137" spans="1:10" x14ac:dyDescent="0.3">
      <c r="A137" s="97"/>
      <c r="B137" s="89"/>
      <c r="C137" s="37"/>
      <c r="D137" s="12"/>
      <c r="E137" s="60"/>
      <c r="F137" s="60"/>
      <c r="G137" s="28"/>
      <c r="H137" s="28"/>
      <c r="I137" s="28"/>
      <c r="J137" s="28"/>
    </row>
    <row r="138" spans="1:10" x14ac:dyDescent="0.3">
      <c r="A138" s="97"/>
      <c r="B138" s="89"/>
      <c r="C138" s="37"/>
      <c r="D138" s="12"/>
      <c r="E138" s="28">
        <f>E139+E141+E142+E143+E144+E146+E147+E148+E149+E152+E151</f>
        <v>5579.3629999999994</v>
      </c>
      <c r="F138" s="28">
        <f>F139+F140+F141+F142+F143+F144+F145+F146+F147+F152+F151</f>
        <v>7238.9151199999997</v>
      </c>
      <c r="G138" s="28">
        <f>SUM(G139:G152)</f>
        <v>5951.6555799999987</v>
      </c>
      <c r="H138" s="28">
        <f>H139+H140+H141+H143+H144+H145+H146+H147+H148+H149+H151+H152+H142</f>
        <v>5818</v>
      </c>
      <c r="I138" s="28">
        <f t="shared" ref="I138:J138" si="12">I139+I140+I141+I143+I144+I145+I146+I147+I148+I149+I151+I152+I142</f>
        <v>5818</v>
      </c>
      <c r="J138" s="28">
        <f t="shared" si="12"/>
        <v>5818</v>
      </c>
    </row>
    <row r="139" spans="1:10" ht="24.75" customHeight="1" x14ac:dyDescent="0.3">
      <c r="A139" s="97"/>
      <c r="B139" s="89"/>
      <c r="C139" s="112" t="s">
        <v>7</v>
      </c>
      <c r="D139" s="12" t="s">
        <v>228</v>
      </c>
      <c r="E139" s="28">
        <v>3280.1482500000002</v>
      </c>
      <c r="F139" s="28">
        <v>3220.7040000000002</v>
      </c>
      <c r="G139" s="28">
        <v>2680.2463200000002</v>
      </c>
      <c r="H139" s="28">
        <v>3432</v>
      </c>
      <c r="I139" s="28">
        <v>3432</v>
      </c>
      <c r="J139" s="28">
        <v>3432</v>
      </c>
    </row>
    <row r="140" spans="1:10" ht="24.75" customHeight="1" x14ac:dyDescent="0.3">
      <c r="A140" s="97"/>
      <c r="B140" s="89"/>
      <c r="C140" s="113"/>
      <c r="D140" s="12" t="s">
        <v>229</v>
      </c>
      <c r="E140" s="28"/>
      <c r="F140" s="28">
        <v>4.2960000000000003</v>
      </c>
      <c r="G140" s="28">
        <v>8.2835699999999992</v>
      </c>
      <c r="H140" s="28"/>
      <c r="I140" s="28"/>
      <c r="J140" s="28"/>
    </row>
    <row r="141" spans="1:10" ht="18.75" customHeight="1" x14ac:dyDescent="0.3">
      <c r="A141" s="90"/>
      <c r="B141" s="107"/>
      <c r="C141" s="114"/>
      <c r="D141" s="12" t="s">
        <v>230</v>
      </c>
      <c r="E141" s="28">
        <v>1131.85175</v>
      </c>
      <c r="F141" s="28">
        <f>'[1]годовая '!$M$25/1000</f>
        <v>1002</v>
      </c>
      <c r="G141" s="28">
        <v>793.73889999999994</v>
      </c>
      <c r="H141" s="28">
        <v>1037</v>
      </c>
      <c r="I141" s="28">
        <v>1037</v>
      </c>
      <c r="J141" s="28">
        <v>1037</v>
      </c>
    </row>
    <row r="142" spans="1:10" x14ac:dyDescent="0.3">
      <c r="A142" s="90"/>
      <c r="B142" s="107"/>
      <c r="C142" s="114"/>
      <c r="D142" s="12" t="s">
        <v>231</v>
      </c>
      <c r="E142" s="28">
        <v>8.4690600000000007</v>
      </c>
      <c r="F142" s="28">
        <v>31.567</v>
      </c>
      <c r="G142" s="28">
        <v>8.9711999999999996</v>
      </c>
      <c r="H142" s="28">
        <v>18.5</v>
      </c>
      <c r="I142" s="28">
        <v>18.5</v>
      </c>
      <c r="J142" s="28">
        <v>18.5</v>
      </c>
    </row>
    <row r="143" spans="1:10" ht="25.5" customHeight="1" x14ac:dyDescent="0.3">
      <c r="A143" s="90"/>
      <c r="B143" s="107"/>
      <c r="C143" s="114"/>
      <c r="D143" s="12" t="s">
        <v>232</v>
      </c>
      <c r="E143" s="28">
        <f>4.9213+3.5943+437.97759+26.58297</f>
        <v>473.07616000000002</v>
      </c>
      <c r="F143" s="28">
        <f>6.1468+8.81636+638.90777+32.2</f>
        <v>686.07093000000009</v>
      </c>
      <c r="G143" s="28">
        <f>87.86726+399.35424</f>
        <v>487.22149999999999</v>
      </c>
      <c r="H143" s="28">
        <v>700</v>
      </c>
      <c r="I143" s="28">
        <v>700</v>
      </c>
      <c r="J143" s="28">
        <v>700</v>
      </c>
    </row>
    <row r="144" spans="1:10" ht="19.5" customHeight="1" x14ac:dyDescent="0.3">
      <c r="A144" s="90"/>
      <c r="B144" s="107"/>
      <c r="C144" s="114"/>
      <c r="D144" s="12" t="s">
        <v>233</v>
      </c>
      <c r="E144" s="28">
        <f>8.75033+6.372+35.03+148.079+0.27+15.63108</f>
        <v>214.13241000000002</v>
      </c>
      <c r="F144" s="28">
        <f>13.356+7.65216+442.41853+2.6+4.662+42.234+223+15.296+0.001</f>
        <v>751.21969000000001</v>
      </c>
      <c r="G144" s="28">
        <v>513.38833999999997</v>
      </c>
      <c r="H144" s="28">
        <f>238-139.5+6</f>
        <v>104.5</v>
      </c>
      <c r="I144" s="28">
        <f t="shared" ref="I144:J144" si="13">238-139.5+6</f>
        <v>104.5</v>
      </c>
      <c r="J144" s="28">
        <f t="shared" si="13"/>
        <v>104.5</v>
      </c>
    </row>
    <row r="145" spans="1:10" ht="19.5" customHeight="1" x14ac:dyDescent="0.3">
      <c r="A145" s="90"/>
      <c r="B145" s="107"/>
      <c r="C145" s="114"/>
      <c r="D145" s="12" t="s">
        <v>234</v>
      </c>
      <c r="E145" s="28"/>
      <c r="F145" s="28">
        <v>857.73012000000006</v>
      </c>
      <c r="G145" s="74">
        <v>361.65557999999999</v>
      </c>
      <c r="H145" s="28">
        <v>189</v>
      </c>
      <c r="I145" s="28">
        <v>189</v>
      </c>
      <c r="J145" s="28">
        <v>189</v>
      </c>
    </row>
    <row r="146" spans="1:10" ht="19.5" customHeight="1" x14ac:dyDescent="0.3">
      <c r="A146" s="90"/>
      <c r="B146" s="107"/>
      <c r="C146" s="114"/>
      <c r="D146" s="12" t="s">
        <v>235</v>
      </c>
      <c r="E146" s="28">
        <f>35.9+288.0693+50+16.4</f>
        <v>390.36929999999995</v>
      </c>
      <c r="F146" s="28">
        <f>9.2+42+566.01838+0.8</f>
        <v>618.01837999999998</v>
      </c>
      <c r="G146" s="28">
        <v>526.18802000000005</v>
      </c>
      <c r="H146" s="28">
        <v>319</v>
      </c>
      <c r="I146" s="28">
        <v>319</v>
      </c>
      <c r="J146" s="28">
        <v>319</v>
      </c>
    </row>
    <row r="147" spans="1:10" ht="28.5" customHeight="1" x14ac:dyDescent="0.3">
      <c r="A147" s="90"/>
      <c r="B147" s="107"/>
      <c r="C147" s="114"/>
      <c r="D147" s="12" t="s">
        <v>236</v>
      </c>
      <c r="E147" s="28">
        <v>3.6150000000000002</v>
      </c>
      <c r="F147" s="28">
        <v>7.4539999999999997</v>
      </c>
      <c r="G147" s="28"/>
      <c r="H147" s="28">
        <v>6</v>
      </c>
      <c r="I147" s="28">
        <v>6</v>
      </c>
      <c r="J147" s="28">
        <v>6</v>
      </c>
    </row>
    <row r="148" spans="1:10" ht="25.5" customHeight="1" x14ac:dyDescent="0.3">
      <c r="A148" s="90"/>
      <c r="B148" s="107"/>
      <c r="C148" s="114"/>
      <c r="D148" s="12" t="s">
        <v>237</v>
      </c>
      <c r="E148" s="28">
        <v>19.596</v>
      </c>
      <c r="F148" s="28"/>
      <c r="G148" s="28">
        <v>2.1520000000000001E-2</v>
      </c>
      <c r="H148" s="28"/>
      <c r="I148" s="28"/>
      <c r="J148" s="28"/>
    </row>
    <row r="149" spans="1:10" ht="23.25" customHeight="1" x14ac:dyDescent="0.3">
      <c r="A149" s="90"/>
      <c r="B149" s="107"/>
      <c r="C149" s="114"/>
      <c r="D149" s="12" t="s">
        <v>238</v>
      </c>
      <c r="E149" s="28">
        <v>0.40906999999999999</v>
      </c>
      <c r="F149" s="28"/>
      <c r="G149" s="28">
        <v>0.10341</v>
      </c>
      <c r="H149" s="28"/>
      <c r="I149" s="28"/>
      <c r="J149" s="28"/>
    </row>
    <row r="150" spans="1:10" ht="23.25" customHeight="1" x14ac:dyDescent="0.3">
      <c r="A150" s="90"/>
      <c r="B150" s="107"/>
      <c r="C150" s="114"/>
      <c r="D150" s="12" t="s">
        <v>239</v>
      </c>
      <c r="E150" s="28"/>
      <c r="F150" s="28"/>
      <c r="G150" s="28">
        <v>450.86122</v>
      </c>
      <c r="H150" s="28"/>
      <c r="I150" s="28"/>
      <c r="J150" s="28"/>
    </row>
    <row r="151" spans="1:10" ht="16.5" customHeight="1" x14ac:dyDescent="0.3">
      <c r="A151" s="90"/>
      <c r="B151" s="107"/>
      <c r="C151" s="114"/>
      <c r="D151" s="12" t="s">
        <v>240</v>
      </c>
      <c r="E151" s="28">
        <v>40</v>
      </c>
      <c r="F151" s="28">
        <v>29</v>
      </c>
      <c r="G151" s="28">
        <f>45+50</f>
        <v>95</v>
      </c>
      <c r="H151" s="28"/>
      <c r="I151" s="28"/>
      <c r="J151" s="28"/>
    </row>
    <row r="152" spans="1:10" ht="19.5" customHeight="1" x14ac:dyDescent="0.3">
      <c r="A152" s="91"/>
      <c r="B152" s="108"/>
      <c r="C152" s="115"/>
      <c r="D152" s="12" t="s">
        <v>241</v>
      </c>
      <c r="E152" s="28">
        <f>10.396+7.3</f>
        <v>17.696000000000002</v>
      </c>
      <c r="F152" s="28">
        <f>20.46+10.396-0.001</f>
        <v>30.855</v>
      </c>
      <c r="G152" s="28">
        <f>10.396+15.58</f>
        <v>25.975999999999999</v>
      </c>
      <c r="H152" s="28">
        <v>12</v>
      </c>
      <c r="I152" s="28">
        <v>12</v>
      </c>
      <c r="J152" s="28">
        <v>12</v>
      </c>
    </row>
    <row r="153" spans="1:10" ht="21.75" customHeight="1" x14ac:dyDescent="0.3">
      <c r="A153" s="92" t="s">
        <v>14</v>
      </c>
      <c r="B153" s="92" t="s">
        <v>38</v>
      </c>
      <c r="C153" s="18" t="s">
        <v>5</v>
      </c>
      <c r="D153" s="18"/>
      <c r="E153" s="63">
        <f t="shared" ref="E153:J153" si="14">E156</f>
        <v>393.38480000000004</v>
      </c>
      <c r="F153" s="63">
        <f t="shared" si="14"/>
        <v>390.29999999999995</v>
      </c>
      <c r="G153" s="63">
        <f t="shared" si="14"/>
        <v>255</v>
      </c>
      <c r="H153" s="63">
        <f t="shared" si="14"/>
        <v>455</v>
      </c>
      <c r="I153" s="63">
        <f t="shared" si="14"/>
        <v>455</v>
      </c>
      <c r="J153" s="63">
        <f t="shared" si="14"/>
        <v>455</v>
      </c>
    </row>
    <row r="154" spans="1:10" ht="29.25" customHeight="1" x14ac:dyDescent="0.3">
      <c r="A154" s="92"/>
      <c r="B154" s="92"/>
      <c r="C154" s="10" t="s">
        <v>11</v>
      </c>
      <c r="D154" s="10"/>
      <c r="E154" s="60"/>
      <c r="F154" s="60"/>
      <c r="G154" s="45"/>
      <c r="H154" s="60"/>
      <c r="I154" s="60"/>
      <c r="J154" s="60"/>
    </row>
    <row r="155" spans="1:10" ht="19.5" customHeight="1" x14ac:dyDescent="0.3">
      <c r="A155" s="92"/>
      <c r="B155" s="92"/>
      <c r="C155" s="11" t="s">
        <v>6</v>
      </c>
      <c r="D155" s="11"/>
      <c r="E155" s="60"/>
      <c r="F155" s="60"/>
      <c r="G155" s="59"/>
      <c r="H155" s="60"/>
      <c r="I155" s="60"/>
      <c r="J155" s="60"/>
    </row>
    <row r="156" spans="1:10" ht="40.5" customHeight="1" x14ac:dyDescent="0.3">
      <c r="A156" s="92"/>
      <c r="B156" s="92"/>
      <c r="C156" s="6" t="s">
        <v>7</v>
      </c>
      <c r="D156" s="6"/>
      <c r="E156" s="45">
        <f t="shared" ref="E156:J156" si="15">E157</f>
        <v>393.38480000000004</v>
      </c>
      <c r="F156" s="45">
        <f t="shared" si="15"/>
        <v>390.29999999999995</v>
      </c>
      <c r="G156" s="45">
        <f t="shared" si="15"/>
        <v>255</v>
      </c>
      <c r="H156" s="45">
        <f t="shared" si="15"/>
        <v>455</v>
      </c>
      <c r="I156" s="45">
        <f t="shared" si="15"/>
        <v>455</v>
      </c>
      <c r="J156" s="45">
        <f t="shared" si="15"/>
        <v>455</v>
      </c>
    </row>
    <row r="157" spans="1:10" ht="19.5" customHeight="1" x14ac:dyDescent="0.3">
      <c r="A157" s="93" t="s">
        <v>25</v>
      </c>
      <c r="B157" s="88" t="s">
        <v>13</v>
      </c>
      <c r="C157" s="9" t="s">
        <v>5</v>
      </c>
      <c r="D157" s="9"/>
      <c r="E157" s="45">
        <f>E162+E164+E165+E166+E167+E170+E168</f>
        <v>393.38480000000004</v>
      </c>
      <c r="F157" s="45">
        <f>F160+F162+F163+F168+F169+F170+F164+F165+F166+F167+F161</f>
        <v>390.29999999999995</v>
      </c>
      <c r="G157" s="45">
        <f>SUM(G160:G170)</f>
        <v>255</v>
      </c>
      <c r="H157" s="45">
        <f>H165+H170</f>
        <v>455</v>
      </c>
      <c r="I157" s="45">
        <f>I165+I170</f>
        <v>455</v>
      </c>
      <c r="J157" s="45">
        <f>J165+J170</f>
        <v>455</v>
      </c>
    </row>
    <row r="158" spans="1:10" ht="26.25" customHeight="1" x14ac:dyDescent="0.3">
      <c r="A158" s="94"/>
      <c r="B158" s="89"/>
      <c r="C158" s="10" t="s">
        <v>11</v>
      </c>
      <c r="D158" s="10"/>
      <c r="E158" s="60"/>
      <c r="F158" s="60"/>
      <c r="G158" s="45"/>
      <c r="H158" s="60"/>
      <c r="I158" s="60"/>
      <c r="J158" s="60"/>
    </row>
    <row r="159" spans="1:10" ht="19.5" customHeight="1" x14ac:dyDescent="0.3">
      <c r="A159" s="94"/>
      <c r="B159" s="89"/>
      <c r="C159" s="11" t="s">
        <v>6</v>
      </c>
      <c r="D159" s="11"/>
      <c r="E159" s="60"/>
      <c r="F159" s="60"/>
      <c r="G159" s="59"/>
      <c r="H159" s="60"/>
      <c r="I159" s="60"/>
      <c r="J159" s="60"/>
    </row>
    <row r="160" spans="1:10" ht="19.5" customHeight="1" x14ac:dyDescent="0.3">
      <c r="A160" s="94"/>
      <c r="B160" s="89"/>
      <c r="C160" s="68"/>
      <c r="D160" s="6" t="s">
        <v>150</v>
      </c>
      <c r="E160" s="60"/>
      <c r="F160" s="60">
        <v>0.16500000000000001</v>
      </c>
      <c r="G160" s="59"/>
      <c r="H160" s="60"/>
      <c r="I160" s="60"/>
      <c r="J160" s="60"/>
    </row>
    <row r="161" spans="1:10" ht="19.5" customHeight="1" x14ac:dyDescent="0.3">
      <c r="A161" s="94"/>
      <c r="B161" s="89"/>
      <c r="C161" s="68"/>
      <c r="D161" s="6" t="s">
        <v>163</v>
      </c>
      <c r="E161" s="60"/>
      <c r="F161" s="60">
        <v>0.30399999999999999</v>
      </c>
      <c r="G161" s="59"/>
      <c r="H161" s="60"/>
      <c r="I161" s="60"/>
      <c r="J161" s="60"/>
    </row>
    <row r="162" spans="1:10" ht="19.5" customHeight="1" x14ac:dyDescent="0.3">
      <c r="A162" s="94"/>
      <c r="B162" s="89"/>
      <c r="C162" s="68"/>
      <c r="D162" s="6" t="s">
        <v>116</v>
      </c>
      <c r="E162" s="60">
        <v>2</v>
      </c>
      <c r="F162" s="60">
        <f>183.77487+6.5</f>
        <v>190.27486999999999</v>
      </c>
      <c r="G162" s="59">
        <f>18.032+135.8695</f>
        <v>153.9015</v>
      </c>
      <c r="H162" s="60"/>
      <c r="I162" s="60"/>
      <c r="J162" s="60"/>
    </row>
    <row r="163" spans="1:10" ht="19.5" customHeight="1" x14ac:dyDescent="0.3">
      <c r="A163" s="94"/>
      <c r="B163" s="89"/>
      <c r="C163" s="68"/>
      <c r="D163" s="6" t="s">
        <v>151</v>
      </c>
      <c r="E163" s="60"/>
      <c r="F163" s="60">
        <v>3.0990000000000002</v>
      </c>
      <c r="G163" s="59"/>
      <c r="H163" s="60"/>
      <c r="I163" s="60"/>
      <c r="J163" s="60"/>
    </row>
    <row r="164" spans="1:10" ht="19.5" customHeight="1" x14ac:dyDescent="0.3">
      <c r="A164" s="90"/>
      <c r="B164" s="107"/>
      <c r="C164" s="114"/>
      <c r="D164" s="6" t="s">
        <v>89</v>
      </c>
      <c r="E164" s="28">
        <v>41.773699999999998</v>
      </c>
      <c r="F164" s="28"/>
      <c r="G164" s="28"/>
      <c r="H164" s="28"/>
      <c r="I164" s="28"/>
      <c r="J164" s="28"/>
    </row>
    <row r="165" spans="1:10" ht="19.5" customHeight="1" x14ac:dyDescent="0.3">
      <c r="A165" s="90"/>
      <c r="B165" s="107"/>
      <c r="C165" s="114"/>
      <c r="D165" s="6" t="s">
        <v>115</v>
      </c>
      <c r="E165" s="28">
        <v>208.39109999999999</v>
      </c>
      <c r="F165" s="28"/>
      <c r="G165" s="28"/>
      <c r="H165" s="28">
        <v>205</v>
      </c>
      <c r="I165" s="28">
        <v>205</v>
      </c>
      <c r="J165" s="28">
        <v>205</v>
      </c>
    </row>
    <row r="166" spans="1:10" ht="19.5" customHeight="1" x14ac:dyDescent="0.3">
      <c r="A166" s="90"/>
      <c r="B166" s="107"/>
      <c r="C166" s="114"/>
      <c r="D166" s="6" t="s">
        <v>117</v>
      </c>
      <c r="E166" s="28">
        <v>6</v>
      </c>
      <c r="F166" s="28"/>
      <c r="G166" s="28"/>
      <c r="H166" s="28"/>
      <c r="I166" s="28"/>
      <c r="J166" s="28"/>
    </row>
    <row r="167" spans="1:10" ht="19.5" customHeight="1" x14ac:dyDescent="0.3">
      <c r="A167" s="90"/>
      <c r="B167" s="107"/>
      <c r="C167" s="114"/>
      <c r="D167" s="6" t="s">
        <v>118</v>
      </c>
      <c r="E167" s="28">
        <v>6</v>
      </c>
      <c r="F167" s="28"/>
      <c r="G167" s="28"/>
      <c r="H167" s="28"/>
      <c r="I167" s="28"/>
      <c r="J167" s="28"/>
    </row>
    <row r="168" spans="1:10" ht="19.5" customHeight="1" x14ac:dyDescent="0.3">
      <c r="A168" s="90"/>
      <c r="B168" s="107"/>
      <c r="C168" s="114"/>
      <c r="D168" s="6" t="s">
        <v>119</v>
      </c>
      <c r="E168" s="28">
        <v>0.22</v>
      </c>
      <c r="F168" s="28">
        <v>0.67988000000000004</v>
      </c>
      <c r="G168" s="28"/>
      <c r="H168" s="28"/>
      <c r="I168" s="28"/>
      <c r="J168" s="28"/>
    </row>
    <row r="169" spans="1:10" ht="19.5" customHeight="1" x14ac:dyDescent="0.3">
      <c r="A169" s="90"/>
      <c r="B169" s="107"/>
      <c r="C169" s="114"/>
      <c r="D169" s="6" t="s">
        <v>152</v>
      </c>
      <c r="E169" s="28"/>
      <c r="F169" s="28">
        <v>3.15</v>
      </c>
      <c r="G169" s="28"/>
      <c r="H169" s="28"/>
      <c r="I169" s="28"/>
      <c r="J169" s="28"/>
    </row>
    <row r="170" spans="1:10" ht="19.5" customHeight="1" x14ac:dyDescent="0.3">
      <c r="A170" s="91"/>
      <c r="B170" s="108"/>
      <c r="C170" s="115"/>
      <c r="D170" s="6" t="s">
        <v>90</v>
      </c>
      <c r="E170" s="28">
        <v>129</v>
      </c>
      <c r="F170" s="28">
        <f>174.67225+1.51+2.629+13.816</f>
        <v>192.62724999999998</v>
      </c>
      <c r="G170" s="28">
        <f>92.009+9.0895</f>
        <v>101.0985</v>
      </c>
      <c r="H170" s="28">
        <v>250</v>
      </c>
      <c r="I170" s="28">
        <v>250</v>
      </c>
      <c r="J170" s="28">
        <v>250</v>
      </c>
    </row>
    <row r="171" spans="1:10" x14ac:dyDescent="0.3">
      <c r="A171" s="92" t="s">
        <v>35</v>
      </c>
      <c r="B171" s="88" t="s">
        <v>36</v>
      </c>
      <c r="C171" s="16" t="s">
        <v>5</v>
      </c>
      <c r="D171" s="16"/>
      <c r="E171" s="33">
        <f t="shared" ref="E171:J171" si="16">E174+E199+E244+E255+E258+E261+E264+E267</f>
        <v>24255.499929999998</v>
      </c>
      <c r="F171" s="33">
        <f t="shared" si="16"/>
        <v>26851.382159999994</v>
      </c>
      <c r="G171" s="33">
        <f t="shared" si="16"/>
        <v>21319.199909999999</v>
      </c>
      <c r="H171" s="33">
        <f t="shared" si="16"/>
        <v>33416.199999999997</v>
      </c>
      <c r="I171" s="33">
        <f t="shared" si="16"/>
        <v>34986.699999999997</v>
      </c>
      <c r="J171" s="33">
        <f t="shared" si="16"/>
        <v>35711.399999999994</v>
      </c>
    </row>
    <row r="172" spans="1:10" x14ac:dyDescent="0.3">
      <c r="A172" s="92"/>
      <c r="B172" s="89"/>
      <c r="C172" s="6" t="s">
        <v>6</v>
      </c>
      <c r="D172" s="6"/>
      <c r="E172" s="55"/>
      <c r="F172" s="55"/>
      <c r="G172" s="55"/>
      <c r="H172" s="55"/>
      <c r="I172" s="55"/>
      <c r="J172" s="55"/>
    </row>
    <row r="173" spans="1:10" ht="42" x14ac:dyDescent="0.3">
      <c r="A173" s="92"/>
      <c r="B173" s="98"/>
      <c r="C173" s="6" t="s">
        <v>7</v>
      </c>
      <c r="D173" s="6"/>
      <c r="E173" s="28"/>
      <c r="F173" s="28"/>
      <c r="G173" s="28"/>
      <c r="H173" s="28"/>
      <c r="I173" s="28"/>
      <c r="J173" s="28"/>
    </row>
    <row r="174" spans="1:10" ht="15" customHeight="1" x14ac:dyDescent="0.3">
      <c r="A174" s="88" t="s">
        <v>22</v>
      </c>
      <c r="B174" s="99" t="s">
        <v>216</v>
      </c>
      <c r="C174" s="6" t="s">
        <v>5</v>
      </c>
      <c r="D174" s="19"/>
      <c r="E174" s="28">
        <f>E176+E178+E179+E181+E182+E183+E184+E187+E188+E189+E190+E191+E192+E193+E194+E195+E198</f>
        <v>9310.1999299999989</v>
      </c>
      <c r="F174" s="28">
        <f>F176+F177+F178+F179+F180+F181+F182+F183+F184+F185+F187+F188+F189+F191+F192+F193+F194+F195+F196+F198</f>
        <v>10480.881909999998</v>
      </c>
      <c r="G174" s="28">
        <f>SUM(G176:G198)</f>
        <v>7566.7249100000008</v>
      </c>
      <c r="H174" s="28">
        <f>H176+H177+H178+H179+H180+H181+H182+H183+H184+H185+H187+H188+H189+H190+H191+H192+H193+H194+H195+H196+H198</f>
        <v>7918</v>
      </c>
      <c r="I174" s="28">
        <f t="shared" ref="I174:J174" si="17">I176+I177+I178+I179+I180+I181+I182+I183+I184+I185+I187+I188+I189+I190+I191+I192+I193+I194+I195+I196+I198</f>
        <v>7918</v>
      </c>
      <c r="J174" s="28">
        <f t="shared" si="17"/>
        <v>7918</v>
      </c>
    </row>
    <row r="175" spans="1:10" x14ac:dyDescent="0.3">
      <c r="A175" s="89"/>
      <c r="B175" s="100"/>
      <c r="C175" s="6" t="s">
        <v>6</v>
      </c>
      <c r="D175" s="6"/>
      <c r="E175" s="28"/>
      <c r="F175" s="28"/>
      <c r="G175" s="28"/>
      <c r="H175" s="28"/>
      <c r="I175" s="28"/>
      <c r="J175" s="28"/>
    </row>
    <row r="176" spans="1:10" ht="37.5" customHeight="1" x14ac:dyDescent="0.3">
      <c r="A176" s="89"/>
      <c r="B176" s="100"/>
      <c r="C176" s="117" t="s">
        <v>7</v>
      </c>
      <c r="D176" s="12" t="s">
        <v>91</v>
      </c>
      <c r="E176" s="69">
        <v>3743.2860000000001</v>
      </c>
      <c r="F176" s="28">
        <v>3949.7246300000002</v>
      </c>
      <c r="G176" s="28">
        <v>3908.7545700000001</v>
      </c>
      <c r="H176" s="28">
        <v>4081</v>
      </c>
      <c r="I176" s="28">
        <v>4081</v>
      </c>
      <c r="J176" s="28">
        <v>4081</v>
      </c>
    </row>
    <row r="177" spans="1:10" ht="28.5" customHeight="1" x14ac:dyDescent="0.3">
      <c r="A177" s="89"/>
      <c r="B177" s="100"/>
      <c r="C177" s="118"/>
      <c r="D177" s="12" t="s">
        <v>155</v>
      </c>
      <c r="E177" s="69"/>
      <c r="F177" s="28">
        <v>3.98481</v>
      </c>
      <c r="G177" s="28">
        <v>32.862789999999997</v>
      </c>
      <c r="H177" s="28"/>
      <c r="I177" s="28"/>
      <c r="J177" s="28"/>
    </row>
    <row r="178" spans="1:10" ht="24.75" customHeight="1" x14ac:dyDescent="0.3">
      <c r="A178" s="90"/>
      <c r="B178" s="100"/>
      <c r="C178" s="119"/>
      <c r="D178" s="12" t="s">
        <v>92</v>
      </c>
      <c r="E178" s="69">
        <v>1108.7139999999999</v>
      </c>
      <c r="F178" s="28">
        <v>1194</v>
      </c>
      <c r="G178" s="28">
        <f>1162.82733+0.001</f>
        <v>1162.8283300000001</v>
      </c>
      <c r="H178" s="28">
        <v>1232</v>
      </c>
      <c r="I178" s="28">
        <v>1232</v>
      </c>
      <c r="J178" s="28">
        <v>1232</v>
      </c>
    </row>
    <row r="179" spans="1:10" ht="21.75" customHeight="1" x14ac:dyDescent="0.3">
      <c r="A179" s="90"/>
      <c r="B179" s="100"/>
      <c r="C179" s="119"/>
      <c r="D179" s="12" t="s">
        <v>93</v>
      </c>
      <c r="E179" s="69">
        <v>65.177999999999997</v>
      </c>
      <c r="F179" s="28">
        <v>69.336129999999997</v>
      </c>
      <c r="G179" s="28">
        <v>65.172610000000006</v>
      </c>
      <c r="H179" s="28">
        <v>120</v>
      </c>
      <c r="I179" s="28">
        <v>120</v>
      </c>
      <c r="J179" s="28">
        <v>120</v>
      </c>
    </row>
    <row r="180" spans="1:10" ht="21.75" customHeight="1" x14ac:dyDescent="0.3">
      <c r="A180" s="90"/>
      <c r="B180" s="100"/>
      <c r="C180" s="119"/>
      <c r="D180" s="12" t="s">
        <v>165</v>
      </c>
      <c r="E180" s="69"/>
      <c r="F180" s="28">
        <v>0.30399999999999999</v>
      </c>
      <c r="G180" s="28"/>
      <c r="H180" s="28"/>
      <c r="I180" s="28"/>
      <c r="J180" s="28"/>
    </row>
    <row r="181" spans="1:10" ht="17.25" customHeight="1" x14ac:dyDescent="0.3">
      <c r="A181" s="90"/>
      <c r="B181" s="100"/>
      <c r="C181" s="119"/>
      <c r="D181" s="12" t="s">
        <v>94</v>
      </c>
      <c r="E181" s="69">
        <f>2.05913+1.50633+187.53032+70.80792</f>
        <v>261.90369999999996</v>
      </c>
      <c r="F181" s="28">
        <f>3.55436+2.60262+290.73653+81.7733</f>
        <v>378.66681</v>
      </c>
      <c r="G181" s="28">
        <f>44.92223+252.80562</f>
        <v>297.72784999999999</v>
      </c>
      <c r="H181" s="28">
        <v>400</v>
      </c>
      <c r="I181" s="28">
        <v>400</v>
      </c>
      <c r="J181" s="28">
        <v>400</v>
      </c>
    </row>
    <row r="182" spans="1:10" ht="22.5" customHeight="1" x14ac:dyDescent="0.3">
      <c r="A182" s="90"/>
      <c r="B182" s="100"/>
      <c r="C182" s="119"/>
      <c r="D182" s="12" t="s">
        <v>95</v>
      </c>
      <c r="E182" s="69">
        <f>1+12.01055+16.15+1.25+149.698</f>
        <v>180.10855000000001</v>
      </c>
      <c r="F182" s="28">
        <f>12.57311+5+176.7</f>
        <v>194.27310999999997</v>
      </c>
      <c r="G182" s="28">
        <v>217.87574000000001</v>
      </c>
      <c r="H182" s="28">
        <v>500</v>
      </c>
      <c r="I182" s="28">
        <v>500</v>
      </c>
      <c r="J182" s="28">
        <v>500</v>
      </c>
    </row>
    <row r="183" spans="1:10" ht="16.5" customHeight="1" x14ac:dyDescent="0.3">
      <c r="A183" s="90"/>
      <c r="B183" s="100"/>
      <c r="C183" s="119"/>
      <c r="D183" s="12" t="s">
        <v>125</v>
      </c>
      <c r="E183" s="69">
        <v>2692.2</v>
      </c>
      <c r="F183" s="28">
        <f>781.48102+73.38498+1794.51591</f>
        <v>2649.3819100000001</v>
      </c>
      <c r="G183" s="28"/>
      <c r="H183" s="28"/>
      <c r="I183" s="28"/>
      <c r="J183" s="28"/>
    </row>
    <row r="184" spans="1:10" ht="15" customHeight="1" x14ac:dyDescent="0.3">
      <c r="A184" s="90"/>
      <c r="B184" s="100"/>
      <c r="C184" s="119"/>
      <c r="D184" s="12" t="s">
        <v>153</v>
      </c>
      <c r="E184" s="69">
        <f>3.46429+794.01322+11.935+91.46+14.6+4.35+1.02</f>
        <v>920.84251000000006</v>
      </c>
      <c r="F184" s="28">
        <v>160</v>
      </c>
      <c r="G184" s="28">
        <v>940.34393</v>
      </c>
      <c r="H184" s="28">
        <v>600</v>
      </c>
      <c r="I184" s="28">
        <v>600</v>
      </c>
      <c r="J184" s="28">
        <v>600</v>
      </c>
    </row>
    <row r="185" spans="1:10" ht="15" customHeight="1" x14ac:dyDescent="0.3">
      <c r="A185" s="90"/>
      <c r="B185" s="100"/>
      <c r="C185" s="119"/>
      <c r="D185" s="12" t="s">
        <v>96</v>
      </c>
      <c r="E185" s="69"/>
      <c r="F185" s="28">
        <f>963.15825+127.0675+24.235+0.38908+59.35+14.5+2.8+58.45</f>
        <v>1249.9498299999998</v>
      </c>
      <c r="G185" s="28"/>
      <c r="H185" s="28"/>
      <c r="I185" s="28"/>
      <c r="J185" s="28"/>
    </row>
    <row r="186" spans="1:10" ht="15" customHeight="1" x14ac:dyDescent="0.3">
      <c r="A186" s="90"/>
      <c r="B186" s="100"/>
      <c r="C186" s="119"/>
      <c r="D186" s="12" t="s">
        <v>209</v>
      </c>
      <c r="E186" s="69"/>
      <c r="F186" s="28"/>
      <c r="G186" s="28">
        <v>154.01</v>
      </c>
      <c r="H186" s="28"/>
      <c r="I186" s="28"/>
      <c r="J186" s="28"/>
    </row>
    <row r="187" spans="1:10" ht="15" customHeight="1" x14ac:dyDescent="0.3">
      <c r="A187" s="90"/>
      <c r="B187" s="100"/>
      <c r="C187" s="119"/>
      <c r="D187" s="12" t="s">
        <v>127</v>
      </c>
      <c r="E187" s="69"/>
      <c r="F187" s="28">
        <v>3.2598699999999998</v>
      </c>
      <c r="G187" s="28">
        <v>2.7056900000000002</v>
      </c>
      <c r="H187" s="28">
        <v>5</v>
      </c>
      <c r="I187" s="28">
        <v>5</v>
      </c>
      <c r="J187" s="28">
        <v>5</v>
      </c>
    </row>
    <row r="188" spans="1:10" ht="15" customHeight="1" x14ac:dyDescent="0.3">
      <c r="A188" s="90"/>
      <c r="B188" s="100"/>
      <c r="C188" s="119"/>
      <c r="D188" s="12" t="s">
        <v>124</v>
      </c>
      <c r="E188" s="69">
        <v>99.356999999999999</v>
      </c>
      <c r="F188" s="28"/>
      <c r="G188" s="28"/>
      <c r="H188" s="28"/>
      <c r="I188" s="28"/>
      <c r="J188" s="28"/>
    </row>
    <row r="189" spans="1:10" ht="15.75" customHeight="1" x14ac:dyDescent="0.3">
      <c r="A189" s="90"/>
      <c r="B189" s="100"/>
      <c r="C189" s="119"/>
      <c r="D189" s="12" t="s">
        <v>120</v>
      </c>
      <c r="E189" s="69">
        <v>1.6</v>
      </c>
      <c r="F189" s="28">
        <f>2.056+4.57</f>
        <v>6.6260000000000003</v>
      </c>
      <c r="G189" s="28"/>
      <c r="H189" s="28"/>
      <c r="I189" s="28"/>
      <c r="J189" s="28"/>
    </row>
    <row r="190" spans="1:10" ht="15" customHeight="1" x14ac:dyDescent="0.3">
      <c r="A190" s="90"/>
      <c r="B190" s="100"/>
      <c r="C190" s="119"/>
      <c r="D190" s="12" t="s">
        <v>121</v>
      </c>
      <c r="E190" s="69">
        <v>0.8</v>
      </c>
      <c r="F190" s="28"/>
      <c r="G190" s="28"/>
      <c r="H190" s="28"/>
      <c r="I190" s="28"/>
      <c r="J190" s="28"/>
    </row>
    <row r="191" spans="1:10" ht="15" customHeight="1" x14ac:dyDescent="0.3">
      <c r="A191" s="90"/>
      <c r="B191" s="100"/>
      <c r="C191" s="119"/>
      <c r="D191" s="12" t="s">
        <v>211</v>
      </c>
      <c r="E191" s="69">
        <v>0.2</v>
      </c>
      <c r="F191" s="28">
        <v>1.7869999999999999</v>
      </c>
      <c r="G191" s="28">
        <v>2.76</v>
      </c>
      <c r="H191" s="28">
        <v>10</v>
      </c>
      <c r="I191" s="28">
        <v>10</v>
      </c>
      <c r="J191" s="28">
        <v>10</v>
      </c>
    </row>
    <row r="192" spans="1:10" ht="15" customHeight="1" x14ac:dyDescent="0.3">
      <c r="A192" s="90"/>
      <c r="B192" s="100"/>
      <c r="C192" s="119"/>
      <c r="D192" s="12" t="s">
        <v>122</v>
      </c>
      <c r="E192" s="69">
        <v>2</v>
      </c>
      <c r="F192" s="28"/>
      <c r="G192" s="28"/>
      <c r="H192" s="28"/>
      <c r="I192" s="28"/>
      <c r="J192" s="28"/>
    </row>
    <row r="193" spans="1:10" ht="15" customHeight="1" x14ac:dyDescent="0.3">
      <c r="A193" s="90"/>
      <c r="B193" s="100"/>
      <c r="C193" s="119"/>
      <c r="D193" s="12" t="s">
        <v>120</v>
      </c>
      <c r="E193" s="69">
        <v>1</v>
      </c>
      <c r="F193" s="28"/>
      <c r="G193" s="28">
        <v>1.44</v>
      </c>
      <c r="H193" s="28"/>
      <c r="I193" s="28"/>
      <c r="J193" s="28"/>
    </row>
    <row r="194" spans="1:10" ht="15" customHeight="1" x14ac:dyDescent="0.3">
      <c r="A194" s="90"/>
      <c r="B194" s="100"/>
      <c r="C194" s="119"/>
      <c r="D194" s="12" t="s">
        <v>123</v>
      </c>
      <c r="E194" s="69">
        <v>7.2999999999999996E-4</v>
      </c>
      <c r="F194" s="28"/>
      <c r="G194" s="28"/>
      <c r="H194" s="28"/>
      <c r="I194" s="28"/>
      <c r="J194" s="28"/>
    </row>
    <row r="195" spans="1:10" ht="15" customHeight="1" x14ac:dyDescent="0.3">
      <c r="A195" s="90"/>
      <c r="B195" s="100"/>
      <c r="C195" s="119"/>
      <c r="D195" s="12" t="s">
        <v>128</v>
      </c>
      <c r="E195" s="69"/>
      <c r="F195" s="28"/>
      <c r="G195" s="28"/>
      <c r="H195" s="28"/>
      <c r="I195" s="28"/>
      <c r="J195" s="28"/>
    </row>
    <row r="196" spans="1:10" ht="15" customHeight="1" x14ac:dyDescent="0.3">
      <c r="A196" s="90"/>
      <c r="B196" s="100"/>
      <c r="C196" s="119"/>
      <c r="D196" s="12" t="s">
        <v>154</v>
      </c>
      <c r="E196" s="69"/>
      <c r="F196" s="28">
        <f>198.62+20.16688</f>
        <v>218.78688</v>
      </c>
      <c r="G196" s="28">
        <v>24.45</v>
      </c>
      <c r="H196" s="28">
        <v>470</v>
      </c>
      <c r="I196" s="28">
        <v>470</v>
      </c>
      <c r="J196" s="28">
        <v>470</v>
      </c>
    </row>
    <row r="197" spans="1:10" ht="15" customHeight="1" x14ac:dyDescent="0.3">
      <c r="A197" s="90"/>
      <c r="B197" s="100"/>
      <c r="C197" s="119"/>
      <c r="D197" s="12" t="s">
        <v>210</v>
      </c>
      <c r="E197" s="69"/>
      <c r="F197" s="28"/>
      <c r="G197" s="28">
        <v>420</v>
      </c>
      <c r="H197" s="28"/>
      <c r="I197" s="28"/>
      <c r="J197" s="28"/>
    </row>
    <row r="198" spans="1:10" ht="15.75" customHeight="1" x14ac:dyDescent="0.3">
      <c r="A198" s="91"/>
      <c r="B198" s="116"/>
      <c r="C198" s="120"/>
      <c r="D198" s="12" t="s">
        <v>97</v>
      </c>
      <c r="E198" s="69">
        <f>56.17578+149.95169+13.32897+1.45+3.115+8.988</f>
        <v>233.00944000000001</v>
      </c>
      <c r="F198" s="28">
        <f>20.5365+1.755+4.026+49.5084+55.5205+99.3896+170.06493</f>
        <v>400.80092999999999</v>
      </c>
      <c r="G198" s="28">
        <f>192.50835+2.185+141.10005</f>
        <v>335.79340000000002</v>
      </c>
      <c r="H198" s="28">
        <v>500</v>
      </c>
      <c r="I198" s="28">
        <v>500</v>
      </c>
      <c r="J198" s="28">
        <v>500</v>
      </c>
    </row>
    <row r="199" spans="1:10" x14ac:dyDescent="0.3">
      <c r="A199" s="102" t="s">
        <v>23</v>
      </c>
      <c r="B199" s="104" t="s">
        <v>217</v>
      </c>
      <c r="C199" s="6" t="s">
        <v>5</v>
      </c>
      <c r="D199" s="16"/>
      <c r="E199" s="33">
        <f t="shared" ref="E199:J199" si="18">E201+E243</f>
        <v>1516</v>
      </c>
      <c r="F199" s="33">
        <f t="shared" si="18"/>
        <v>1670</v>
      </c>
      <c r="G199" s="33">
        <f>G201+G243+G242</f>
        <v>1780.575</v>
      </c>
      <c r="H199" s="33">
        <f t="shared" si="18"/>
        <v>1899</v>
      </c>
      <c r="I199" s="33">
        <f t="shared" si="18"/>
        <v>1899</v>
      </c>
      <c r="J199" s="33">
        <f t="shared" si="18"/>
        <v>1899</v>
      </c>
    </row>
    <row r="200" spans="1:10" x14ac:dyDescent="0.3">
      <c r="A200" s="103"/>
      <c r="B200" s="121"/>
      <c r="C200" s="6" t="s">
        <v>6</v>
      </c>
      <c r="D200" s="6"/>
      <c r="E200" s="60"/>
      <c r="F200" s="60"/>
      <c r="G200" s="28"/>
      <c r="H200" s="60"/>
      <c r="I200" s="60"/>
      <c r="J200" s="60"/>
    </row>
    <row r="201" spans="1:10" ht="30" customHeight="1" x14ac:dyDescent="0.3">
      <c r="A201" s="103"/>
      <c r="B201" s="121"/>
      <c r="C201" s="112" t="s">
        <v>7</v>
      </c>
      <c r="D201" s="12" t="s">
        <v>98</v>
      </c>
      <c r="E201" s="44">
        <v>1091.8</v>
      </c>
      <c r="F201" s="44">
        <f>'[2]2019'!$M$36/1000</f>
        <v>1294</v>
      </c>
      <c r="G201" s="44">
        <v>1338</v>
      </c>
      <c r="H201" s="44">
        <v>1459</v>
      </c>
      <c r="I201" s="44">
        <v>1459</v>
      </c>
      <c r="J201" s="44">
        <v>1459</v>
      </c>
    </row>
    <row r="202" spans="1:10" ht="15" hidden="1" customHeight="1" x14ac:dyDescent="0.3">
      <c r="A202" s="90"/>
      <c r="B202" s="90"/>
      <c r="C202" s="114"/>
      <c r="D202" s="12" t="s">
        <v>24</v>
      </c>
      <c r="E202" s="58">
        <f t="shared" ref="E202:I202" si="19">E204</f>
        <v>13432</v>
      </c>
      <c r="F202" s="58">
        <f t="shared" si="19"/>
        <v>13432</v>
      </c>
      <c r="G202" s="58">
        <f t="shared" si="19"/>
        <v>13432</v>
      </c>
      <c r="H202" s="58">
        <f t="shared" si="19"/>
        <v>13432</v>
      </c>
      <c r="I202" s="58">
        <f t="shared" si="19"/>
        <v>13432</v>
      </c>
      <c r="J202" s="58">
        <f t="shared" ref="J202" si="20">J204</f>
        <v>13432</v>
      </c>
    </row>
    <row r="203" spans="1:10" ht="30" hidden="1" customHeight="1" x14ac:dyDescent="0.3">
      <c r="A203" s="90"/>
      <c r="B203" s="90"/>
      <c r="C203" s="114"/>
      <c r="D203" s="12" t="s">
        <v>20</v>
      </c>
      <c r="E203" s="45"/>
      <c r="F203" s="45"/>
      <c r="G203" s="45"/>
      <c r="H203" s="45"/>
      <c r="I203" s="45"/>
      <c r="J203" s="45"/>
    </row>
    <row r="204" spans="1:10" ht="15" hidden="1" customHeight="1" x14ac:dyDescent="0.3">
      <c r="A204" s="90"/>
      <c r="B204" s="90"/>
      <c r="C204" s="114"/>
      <c r="D204" s="12" t="s">
        <v>24</v>
      </c>
      <c r="E204" s="45">
        <f t="shared" ref="E204:I204" si="21">E206</f>
        <v>13432</v>
      </c>
      <c r="F204" s="45">
        <f t="shared" si="21"/>
        <v>13432</v>
      </c>
      <c r="G204" s="45">
        <f t="shared" si="21"/>
        <v>13432</v>
      </c>
      <c r="H204" s="45">
        <f t="shared" si="21"/>
        <v>13432</v>
      </c>
      <c r="I204" s="45">
        <f t="shared" si="21"/>
        <v>13432</v>
      </c>
      <c r="J204" s="45">
        <f t="shared" ref="J204" si="22">J206</f>
        <v>13432</v>
      </c>
    </row>
    <row r="205" spans="1:10" ht="30" hidden="1" customHeight="1" x14ac:dyDescent="0.3">
      <c r="A205" s="90"/>
      <c r="B205" s="90"/>
      <c r="C205" s="114"/>
      <c r="D205" s="12" t="s">
        <v>20</v>
      </c>
      <c r="E205" s="59"/>
      <c r="F205" s="59"/>
      <c r="G205" s="59"/>
      <c r="H205" s="59"/>
      <c r="I205" s="59"/>
      <c r="J205" s="59"/>
    </row>
    <row r="206" spans="1:10" ht="60" hidden="1" customHeight="1" x14ac:dyDescent="0.3">
      <c r="A206" s="90"/>
      <c r="B206" s="90"/>
      <c r="C206" s="114"/>
      <c r="D206" s="12" t="s">
        <v>24</v>
      </c>
      <c r="E206" s="45">
        <v>13432</v>
      </c>
      <c r="F206" s="45">
        <v>13432</v>
      </c>
      <c r="G206" s="45">
        <v>13432</v>
      </c>
      <c r="H206" s="45">
        <v>13432</v>
      </c>
      <c r="I206" s="45">
        <v>13432</v>
      </c>
      <c r="J206" s="45">
        <v>13432</v>
      </c>
    </row>
    <row r="207" spans="1:10" ht="15" hidden="1" customHeight="1" x14ac:dyDescent="0.3">
      <c r="A207" s="90"/>
      <c r="B207" s="90"/>
      <c r="C207" s="114"/>
      <c r="D207" s="12" t="s">
        <v>20</v>
      </c>
      <c r="E207" s="58">
        <f t="shared" ref="E207:I207" si="23">E209</f>
        <v>4109</v>
      </c>
      <c r="F207" s="58">
        <f t="shared" si="23"/>
        <v>4109</v>
      </c>
      <c r="G207" s="58">
        <f t="shared" si="23"/>
        <v>4109</v>
      </c>
      <c r="H207" s="58">
        <f t="shared" si="23"/>
        <v>4109</v>
      </c>
      <c r="I207" s="58">
        <f t="shared" si="23"/>
        <v>4109</v>
      </c>
      <c r="J207" s="58">
        <f t="shared" ref="J207" si="24">J209</f>
        <v>4109</v>
      </c>
    </row>
    <row r="208" spans="1:10" ht="30" hidden="1" customHeight="1" x14ac:dyDescent="0.3">
      <c r="A208" s="90"/>
      <c r="B208" s="90"/>
      <c r="C208" s="114"/>
      <c r="D208" s="12" t="s">
        <v>24</v>
      </c>
      <c r="E208" s="45"/>
      <c r="F208" s="45"/>
      <c r="G208" s="45"/>
      <c r="H208" s="45"/>
      <c r="I208" s="45"/>
      <c r="J208" s="45"/>
    </row>
    <row r="209" spans="1:10" ht="15" hidden="1" customHeight="1" x14ac:dyDescent="0.3">
      <c r="A209" s="90"/>
      <c r="B209" s="90"/>
      <c r="C209" s="114"/>
      <c r="D209" s="12" t="s">
        <v>20</v>
      </c>
      <c r="E209" s="45">
        <v>4109</v>
      </c>
      <c r="F209" s="45">
        <v>4109</v>
      </c>
      <c r="G209" s="45">
        <v>4109</v>
      </c>
      <c r="H209" s="45">
        <v>4109</v>
      </c>
      <c r="I209" s="45">
        <v>4109</v>
      </c>
      <c r="J209" s="45">
        <v>4109</v>
      </c>
    </row>
    <row r="210" spans="1:10" ht="30" hidden="1" customHeight="1" x14ac:dyDescent="0.3">
      <c r="A210" s="90"/>
      <c r="B210" s="90"/>
      <c r="C210" s="114"/>
      <c r="D210" s="12" t="s">
        <v>24</v>
      </c>
      <c r="E210" s="59"/>
      <c r="F210" s="59"/>
      <c r="G210" s="59"/>
      <c r="H210" s="59"/>
      <c r="I210" s="59"/>
      <c r="J210" s="59"/>
    </row>
    <row r="211" spans="1:10" ht="60" hidden="1" customHeight="1" x14ac:dyDescent="0.3">
      <c r="A211" s="90"/>
      <c r="B211" s="90"/>
      <c r="C211" s="114"/>
      <c r="D211" s="12" t="s">
        <v>20</v>
      </c>
      <c r="E211" s="45">
        <v>4109</v>
      </c>
      <c r="F211" s="45">
        <v>4109</v>
      </c>
      <c r="G211" s="45">
        <v>4109</v>
      </c>
      <c r="H211" s="45">
        <v>4109</v>
      </c>
      <c r="I211" s="45">
        <v>4109</v>
      </c>
      <c r="J211" s="45">
        <v>4109</v>
      </c>
    </row>
    <row r="212" spans="1:10" ht="0.75" hidden="1" customHeight="1" x14ac:dyDescent="0.3">
      <c r="A212" s="90"/>
      <c r="B212" s="90"/>
      <c r="C212" s="114"/>
      <c r="D212" s="12" t="s">
        <v>24</v>
      </c>
      <c r="E212" s="58">
        <f t="shared" ref="E212:I212" si="25">E214</f>
        <v>3865</v>
      </c>
      <c r="F212" s="58">
        <f t="shared" si="25"/>
        <v>3865</v>
      </c>
      <c r="G212" s="58">
        <f t="shared" si="25"/>
        <v>3865</v>
      </c>
      <c r="H212" s="58">
        <f t="shared" si="25"/>
        <v>3865</v>
      </c>
      <c r="I212" s="58">
        <f t="shared" si="25"/>
        <v>3865</v>
      </c>
      <c r="J212" s="58">
        <f t="shared" ref="J212" si="26">J214</f>
        <v>3865</v>
      </c>
    </row>
    <row r="213" spans="1:10" ht="30" hidden="1" customHeight="1" x14ac:dyDescent="0.3">
      <c r="A213" s="90"/>
      <c r="B213" s="90"/>
      <c r="C213" s="114"/>
      <c r="D213" s="12" t="s">
        <v>20</v>
      </c>
      <c r="E213" s="45"/>
      <c r="F213" s="45"/>
      <c r="G213" s="45"/>
      <c r="H213" s="45"/>
      <c r="I213" s="45"/>
      <c r="J213" s="45"/>
    </row>
    <row r="214" spans="1:10" ht="15" hidden="1" customHeight="1" x14ac:dyDescent="0.3">
      <c r="A214" s="90"/>
      <c r="B214" s="90"/>
      <c r="C214" s="114"/>
      <c r="D214" s="12" t="s">
        <v>24</v>
      </c>
      <c r="E214" s="45">
        <v>3865</v>
      </c>
      <c r="F214" s="45">
        <v>3865</v>
      </c>
      <c r="G214" s="45">
        <v>3865</v>
      </c>
      <c r="H214" s="45">
        <v>3865</v>
      </c>
      <c r="I214" s="45">
        <v>3865</v>
      </c>
      <c r="J214" s="45">
        <v>3865</v>
      </c>
    </row>
    <row r="215" spans="1:10" ht="30" hidden="1" customHeight="1" x14ac:dyDescent="0.3">
      <c r="A215" s="90"/>
      <c r="B215" s="90"/>
      <c r="C215" s="114"/>
      <c r="D215" s="12" t="s">
        <v>20</v>
      </c>
      <c r="E215" s="59"/>
      <c r="F215" s="59"/>
      <c r="G215" s="59"/>
      <c r="H215" s="59"/>
      <c r="I215" s="59"/>
      <c r="J215" s="59"/>
    </row>
    <row r="216" spans="1:10" ht="62.25" hidden="1" customHeight="1" x14ac:dyDescent="0.3">
      <c r="A216" s="90"/>
      <c r="B216" s="90"/>
      <c r="C216" s="114"/>
      <c r="D216" s="12" t="s">
        <v>24</v>
      </c>
      <c r="E216" s="45">
        <v>3865</v>
      </c>
      <c r="F216" s="45">
        <v>3865</v>
      </c>
      <c r="G216" s="45">
        <v>3865</v>
      </c>
      <c r="H216" s="45">
        <v>3865</v>
      </c>
      <c r="I216" s="45">
        <v>3865</v>
      </c>
      <c r="J216" s="45">
        <v>3865</v>
      </c>
    </row>
    <row r="217" spans="1:10" ht="15" hidden="1" customHeight="1" x14ac:dyDescent="0.3">
      <c r="A217" s="90"/>
      <c r="B217" s="90"/>
      <c r="C217" s="114"/>
      <c r="D217" s="12" t="s">
        <v>20</v>
      </c>
      <c r="E217" s="45">
        <v>42</v>
      </c>
      <c r="F217" s="45">
        <v>42</v>
      </c>
      <c r="G217" s="45">
        <v>42</v>
      </c>
      <c r="H217" s="45">
        <v>42</v>
      </c>
      <c r="I217" s="45">
        <v>42</v>
      </c>
      <c r="J217" s="45">
        <v>42</v>
      </c>
    </row>
    <row r="218" spans="1:10" ht="30" hidden="1" customHeight="1" x14ac:dyDescent="0.3">
      <c r="A218" s="90"/>
      <c r="B218" s="90"/>
      <c r="C218" s="114"/>
      <c r="D218" s="12" t="s">
        <v>24</v>
      </c>
      <c r="E218" s="45"/>
      <c r="F218" s="45"/>
      <c r="G218" s="45"/>
      <c r="H218" s="45"/>
      <c r="I218" s="45"/>
      <c r="J218" s="45"/>
    </row>
    <row r="219" spans="1:10" ht="15" hidden="1" customHeight="1" x14ac:dyDescent="0.3">
      <c r="A219" s="90"/>
      <c r="B219" s="90"/>
      <c r="C219" s="114"/>
      <c r="D219" s="12" t="s">
        <v>20</v>
      </c>
      <c r="E219" s="45">
        <v>42</v>
      </c>
      <c r="F219" s="45">
        <v>42</v>
      </c>
      <c r="G219" s="45">
        <v>42</v>
      </c>
      <c r="H219" s="45">
        <v>42</v>
      </c>
      <c r="I219" s="45">
        <v>42</v>
      </c>
      <c r="J219" s="45">
        <v>42</v>
      </c>
    </row>
    <row r="220" spans="1:10" ht="30" hidden="1" customHeight="1" x14ac:dyDescent="0.3">
      <c r="A220" s="90"/>
      <c r="B220" s="90"/>
      <c r="C220" s="114"/>
      <c r="D220" s="12" t="s">
        <v>24</v>
      </c>
      <c r="E220" s="59"/>
      <c r="F220" s="59"/>
      <c r="G220" s="59"/>
      <c r="H220" s="59"/>
      <c r="I220" s="59"/>
      <c r="J220" s="59"/>
    </row>
    <row r="221" spans="1:10" ht="60" hidden="1" customHeight="1" x14ac:dyDescent="0.3">
      <c r="A221" s="90"/>
      <c r="B221" s="90"/>
      <c r="C221" s="114"/>
      <c r="D221" s="12" t="s">
        <v>20</v>
      </c>
      <c r="E221" s="45">
        <v>42</v>
      </c>
      <c r="F221" s="45">
        <v>42</v>
      </c>
      <c r="G221" s="45">
        <v>42</v>
      </c>
      <c r="H221" s="45">
        <v>42</v>
      </c>
      <c r="I221" s="45">
        <v>42</v>
      </c>
      <c r="J221" s="45">
        <v>42</v>
      </c>
    </row>
    <row r="222" spans="1:10" ht="3.75" hidden="1" customHeight="1" x14ac:dyDescent="0.3">
      <c r="A222" s="90"/>
      <c r="B222" s="90"/>
      <c r="C222" s="114"/>
      <c r="D222" s="12" t="s">
        <v>24</v>
      </c>
      <c r="E222" s="45">
        <f t="shared" ref="E222:I222" si="27">E224</f>
        <v>4996</v>
      </c>
      <c r="F222" s="45">
        <f t="shared" si="27"/>
        <v>4996</v>
      </c>
      <c r="G222" s="45">
        <f t="shared" si="27"/>
        <v>4996</v>
      </c>
      <c r="H222" s="45">
        <f t="shared" si="27"/>
        <v>4996</v>
      </c>
      <c r="I222" s="45">
        <f t="shared" si="27"/>
        <v>4996</v>
      </c>
      <c r="J222" s="45">
        <f t="shared" ref="J222" si="28">J224</f>
        <v>4996</v>
      </c>
    </row>
    <row r="223" spans="1:10" ht="30" hidden="1" customHeight="1" x14ac:dyDescent="0.3">
      <c r="A223" s="90"/>
      <c r="B223" s="90"/>
      <c r="C223" s="114"/>
      <c r="D223" s="12" t="s">
        <v>20</v>
      </c>
      <c r="E223" s="45"/>
      <c r="F223" s="45"/>
      <c r="G223" s="45"/>
      <c r="H223" s="45"/>
      <c r="I223" s="45"/>
      <c r="J223" s="45"/>
    </row>
    <row r="224" spans="1:10" ht="15" hidden="1" customHeight="1" x14ac:dyDescent="0.3">
      <c r="A224" s="90"/>
      <c r="B224" s="90"/>
      <c r="C224" s="114"/>
      <c r="D224" s="12" t="s">
        <v>24</v>
      </c>
      <c r="E224" s="45">
        <v>4996</v>
      </c>
      <c r="F224" s="45">
        <v>4996</v>
      </c>
      <c r="G224" s="45">
        <v>4996</v>
      </c>
      <c r="H224" s="45">
        <v>4996</v>
      </c>
      <c r="I224" s="45">
        <v>4996</v>
      </c>
      <c r="J224" s="45">
        <v>4996</v>
      </c>
    </row>
    <row r="225" spans="1:10" ht="30" hidden="1" customHeight="1" x14ac:dyDescent="0.3">
      <c r="A225" s="90"/>
      <c r="B225" s="90"/>
      <c r="C225" s="114"/>
      <c r="D225" s="12" t="s">
        <v>20</v>
      </c>
      <c r="E225" s="59"/>
      <c r="F225" s="59"/>
      <c r="G225" s="59"/>
      <c r="H225" s="59"/>
      <c r="I225" s="59"/>
      <c r="J225" s="59"/>
    </row>
    <row r="226" spans="1:10" ht="60" hidden="1" customHeight="1" x14ac:dyDescent="0.3">
      <c r="A226" s="90"/>
      <c r="B226" s="90"/>
      <c r="C226" s="114"/>
      <c r="D226" s="12" t="s">
        <v>24</v>
      </c>
      <c r="E226" s="45">
        <f t="shared" ref="E226:I226" si="29">E224</f>
        <v>4996</v>
      </c>
      <c r="F226" s="45">
        <f t="shared" si="29"/>
        <v>4996</v>
      </c>
      <c r="G226" s="45">
        <f t="shared" si="29"/>
        <v>4996</v>
      </c>
      <c r="H226" s="45">
        <f t="shared" si="29"/>
        <v>4996</v>
      </c>
      <c r="I226" s="45">
        <f t="shared" si="29"/>
        <v>4996</v>
      </c>
      <c r="J226" s="45">
        <f t="shared" ref="J226" si="30">J224</f>
        <v>4996</v>
      </c>
    </row>
    <row r="227" spans="1:10" ht="15" hidden="1" customHeight="1" x14ac:dyDescent="0.3">
      <c r="A227" s="90"/>
      <c r="B227" s="90"/>
      <c r="C227" s="114"/>
      <c r="D227" s="12" t="s">
        <v>20</v>
      </c>
      <c r="E227" s="45">
        <f t="shared" ref="E227:I227" si="31">E229</f>
        <v>288.60000000000002</v>
      </c>
      <c r="F227" s="45">
        <f t="shared" si="31"/>
        <v>288.60000000000002</v>
      </c>
      <c r="G227" s="45">
        <f t="shared" si="31"/>
        <v>288.60000000000002</v>
      </c>
      <c r="H227" s="45">
        <f t="shared" si="31"/>
        <v>288.60000000000002</v>
      </c>
      <c r="I227" s="45">
        <f t="shared" si="31"/>
        <v>288.60000000000002</v>
      </c>
      <c r="J227" s="45">
        <f t="shared" ref="J227" si="32">J229</f>
        <v>288.60000000000002</v>
      </c>
    </row>
    <row r="228" spans="1:10" ht="30" hidden="1" customHeight="1" x14ac:dyDescent="0.3">
      <c r="A228" s="90"/>
      <c r="B228" s="90"/>
      <c r="C228" s="114"/>
      <c r="D228" s="12" t="s">
        <v>24</v>
      </c>
      <c r="E228" s="45"/>
      <c r="F228" s="45"/>
      <c r="G228" s="45"/>
      <c r="H228" s="45"/>
      <c r="I228" s="45"/>
      <c r="J228" s="45"/>
    </row>
    <row r="229" spans="1:10" ht="15" hidden="1" customHeight="1" x14ac:dyDescent="0.3">
      <c r="A229" s="90"/>
      <c r="B229" s="90"/>
      <c r="C229" s="114"/>
      <c r="D229" s="12" t="s">
        <v>20</v>
      </c>
      <c r="E229" s="45">
        <f t="shared" ref="E229:I229" si="33">E231</f>
        <v>288.60000000000002</v>
      </c>
      <c r="F229" s="45">
        <f t="shared" si="33"/>
        <v>288.60000000000002</v>
      </c>
      <c r="G229" s="45">
        <f t="shared" si="33"/>
        <v>288.60000000000002</v>
      </c>
      <c r="H229" s="45">
        <f t="shared" si="33"/>
        <v>288.60000000000002</v>
      </c>
      <c r="I229" s="45">
        <f t="shared" si="33"/>
        <v>288.60000000000002</v>
      </c>
      <c r="J229" s="45">
        <f t="shared" ref="J229" si="34">J231</f>
        <v>288.60000000000002</v>
      </c>
    </row>
    <row r="230" spans="1:10" ht="30" hidden="1" customHeight="1" x14ac:dyDescent="0.3">
      <c r="A230" s="90"/>
      <c r="B230" s="90"/>
      <c r="C230" s="114"/>
      <c r="D230" s="12" t="s">
        <v>24</v>
      </c>
      <c r="E230" s="45"/>
      <c r="F230" s="45"/>
      <c r="G230" s="45"/>
      <c r="H230" s="45"/>
      <c r="I230" s="45"/>
      <c r="J230" s="45"/>
    </row>
    <row r="231" spans="1:10" ht="9.75" hidden="1" customHeight="1" x14ac:dyDescent="0.3">
      <c r="A231" s="90"/>
      <c r="B231" s="90"/>
      <c r="C231" s="114"/>
      <c r="D231" s="12" t="s">
        <v>20</v>
      </c>
      <c r="E231" s="45">
        <v>288.60000000000002</v>
      </c>
      <c r="F231" s="45">
        <v>288.60000000000002</v>
      </c>
      <c r="G231" s="45">
        <v>288.60000000000002</v>
      </c>
      <c r="H231" s="45">
        <v>288.60000000000002</v>
      </c>
      <c r="I231" s="45">
        <v>288.60000000000002</v>
      </c>
      <c r="J231" s="45">
        <v>288.60000000000002</v>
      </c>
    </row>
    <row r="232" spans="1:10" ht="23.25" hidden="1" customHeight="1" x14ac:dyDescent="0.3">
      <c r="A232" s="90"/>
      <c r="B232" s="90"/>
      <c r="C232" s="114"/>
      <c r="D232" s="12" t="s">
        <v>24</v>
      </c>
      <c r="E232" s="45">
        <v>420</v>
      </c>
      <c r="F232" s="45">
        <v>420</v>
      </c>
      <c r="G232" s="45">
        <v>420</v>
      </c>
      <c r="H232" s="45">
        <v>420</v>
      </c>
      <c r="I232" s="45">
        <v>420</v>
      </c>
      <c r="J232" s="45">
        <v>420</v>
      </c>
    </row>
    <row r="233" spans="1:10" ht="30" hidden="1" customHeight="1" x14ac:dyDescent="0.3">
      <c r="A233" s="90"/>
      <c r="B233" s="90"/>
      <c r="C233" s="114"/>
      <c r="D233" s="12" t="s">
        <v>20</v>
      </c>
      <c r="E233" s="45"/>
      <c r="F233" s="45"/>
      <c r="G233" s="45"/>
      <c r="H233" s="45"/>
      <c r="I233" s="45"/>
      <c r="J233" s="45"/>
    </row>
    <row r="234" spans="1:10" ht="36.75" hidden="1" customHeight="1" x14ac:dyDescent="0.3">
      <c r="A234" s="90"/>
      <c r="B234" s="90"/>
      <c r="C234" s="114"/>
      <c r="D234" s="12" t="s">
        <v>24</v>
      </c>
      <c r="E234" s="45">
        <v>420</v>
      </c>
      <c r="F234" s="45">
        <v>420</v>
      </c>
      <c r="G234" s="45">
        <v>420</v>
      </c>
      <c r="H234" s="45">
        <v>420</v>
      </c>
      <c r="I234" s="45">
        <v>420</v>
      </c>
      <c r="J234" s="45">
        <v>420</v>
      </c>
    </row>
    <row r="235" spans="1:10" ht="30.75" hidden="1" customHeight="1" x14ac:dyDescent="0.3">
      <c r="A235" s="90"/>
      <c r="B235" s="90"/>
      <c r="C235" s="114"/>
      <c r="D235" s="12" t="s">
        <v>20</v>
      </c>
      <c r="E235" s="59"/>
      <c r="F235" s="59"/>
      <c r="G235" s="59"/>
      <c r="H235" s="59"/>
      <c r="I235" s="59"/>
      <c r="J235" s="59"/>
    </row>
    <row r="236" spans="1:10" ht="48.75" hidden="1" customHeight="1" x14ac:dyDescent="0.3">
      <c r="A236" s="90"/>
      <c r="B236" s="90"/>
      <c r="C236" s="114"/>
      <c r="D236" s="12" t="s">
        <v>24</v>
      </c>
      <c r="E236" s="45">
        <v>420</v>
      </c>
      <c r="F236" s="45">
        <v>420</v>
      </c>
      <c r="G236" s="45">
        <v>420</v>
      </c>
      <c r="H236" s="45">
        <v>420</v>
      </c>
      <c r="I236" s="45">
        <v>420</v>
      </c>
      <c r="J236" s="45">
        <v>420</v>
      </c>
    </row>
    <row r="237" spans="1:10" ht="30" hidden="1" customHeight="1" x14ac:dyDescent="0.3">
      <c r="A237" s="90"/>
      <c r="B237" s="90"/>
      <c r="C237" s="114"/>
      <c r="D237" s="12" t="s">
        <v>20</v>
      </c>
      <c r="E237" s="45">
        <v>797</v>
      </c>
      <c r="F237" s="45">
        <v>797</v>
      </c>
      <c r="G237" s="45">
        <v>797</v>
      </c>
      <c r="H237" s="45">
        <v>797</v>
      </c>
      <c r="I237" s="45">
        <v>797</v>
      </c>
      <c r="J237" s="45">
        <v>797</v>
      </c>
    </row>
    <row r="238" spans="1:10" ht="14.25" hidden="1" customHeight="1" x14ac:dyDescent="0.3">
      <c r="A238" s="90"/>
      <c r="B238" s="90"/>
      <c r="C238" s="114"/>
      <c r="D238" s="12" t="s">
        <v>24</v>
      </c>
      <c r="E238" s="45"/>
      <c r="F238" s="45"/>
      <c r="G238" s="45"/>
      <c r="H238" s="45"/>
      <c r="I238" s="45"/>
      <c r="J238" s="45"/>
    </row>
    <row r="239" spans="1:10" ht="17.25" hidden="1" customHeight="1" x14ac:dyDescent="0.3">
      <c r="A239" s="90"/>
      <c r="B239" s="90"/>
      <c r="C239" s="114"/>
      <c r="D239" s="12" t="s">
        <v>20</v>
      </c>
      <c r="E239" s="45">
        <v>797</v>
      </c>
      <c r="F239" s="45">
        <v>797</v>
      </c>
      <c r="G239" s="45">
        <v>797</v>
      </c>
      <c r="H239" s="45">
        <v>797</v>
      </c>
      <c r="I239" s="45">
        <v>797</v>
      </c>
      <c r="J239" s="45">
        <v>797</v>
      </c>
    </row>
    <row r="240" spans="1:10" ht="36" hidden="1" customHeight="1" x14ac:dyDescent="0.3">
      <c r="A240" s="90"/>
      <c r="B240" s="90"/>
      <c r="C240" s="114"/>
      <c r="D240" s="12" t="s">
        <v>24</v>
      </c>
      <c r="E240" s="59"/>
      <c r="F240" s="59"/>
      <c r="G240" s="59"/>
      <c r="H240" s="59"/>
      <c r="I240" s="59"/>
      <c r="J240" s="59"/>
    </row>
    <row r="241" spans="1:10" ht="9.75" hidden="1" customHeight="1" x14ac:dyDescent="0.3">
      <c r="A241" s="90"/>
      <c r="B241" s="90"/>
      <c r="C241" s="114"/>
      <c r="D241" s="12" t="s">
        <v>20</v>
      </c>
      <c r="E241" s="45">
        <v>797</v>
      </c>
      <c r="F241" s="45">
        <v>797</v>
      </c>
      <c r="G241" s="45">
        <v>797</v>
      </c>
      <c r="H241" s="45">
        <v>797</v>
      </c>
      <c r="I241" s="45">
        <v>797</v>
      </c>
      <c r="J241" s="45">
        <v>797</v>
      </c>
    </row>
    <row r="242" spans="1:10" ht="24" customHeight="1" x14ac:dyDescent="0.3">
      <c r="A242" s="90"/>
      <c r="B242" s="90"/>
      <c r="C242" s="114"/>
      <c r="D242" s="12" t="s">
        <v>208</v>
      </c>
      <c r="E242" s="45"/>
      <c r="F242" s="45"/>
      <c r="G242" s="45">
        <v>9</v>
      </c>
      <c r="H242" s="45"/>
      <c r="I242" s="45"/>
      <c r="J242" s="45"/>
    </row>
    <row r="243" spans="1:10" x14ac:dyDescent="0.3">
      <c r="A243" s="91"/>
      <c r="B243" s="91"/>
      <c r="C243" s="115"/>
      <c r="D243" s="12" t="s">
        <v>99</v>
      </c>
      <c r="E243" s="45">
        <v>424.2</v>
      </c>
      <c r="F243" s="45">
        <f>'[2]2019'!$M$37/1000</f>
        <v>376</v>
      </c>
      <c r="G243" s="45">
        <v>433.57499999999999</v>
      </c>
      <c r="H243" s="45">
        <v>440</v>
      </c>
      <c r="I243" s="45">
        <v>440</v>
      </c>
      <c r="J243" s="45">
        <v>440</v>
      </c>
    </row>
    <row r="244" spans="1:10" x14ac:dyDescent="0.3">
      <c r="A244" s="102" t="s">
        <v>26</v>
      </c>
      <c r="B244" s="104" t="s">
        <v>182</v>
      </c>
      <c r="C244" s="6" t="s">
        <v>5</v>
      </c>
      <c r="D244" s="13"/>
      <c r="E244" s="41">
        <f t="shared" ref="E244:F244" si="35">SUM(E246:E254)</f>
        <v>792</v>
      </c>
      <c r="F244" s="41">
        <f t="shared" si="35"/>
        <v>791.00025000000005</v>
      </c>
      <c r="G244" s="41">
        <f>SUM(G246:G254)</f>
        <v>830</v>
      </c>
      <c r="H244" s="41">
        <f t="shared" ref="H244:J244" si="36">SUM(H246:H254)</f>
        <v>830</v>
      </c>
      <c r="I244" s="41">
        <f t="shared" si="36"/>
        <v>838</v>
      </c>
      <c r="J244" s="41">
        <f t="shared" si="36"/>
        <v>918</v>
      </c>
    </row>
    <row r="245" spans="1:10" x14ac:dyDescent="0.3">
      <c r="A245" s="90"/>
      <c r="B245" s="90"/>
      <c r="C245" s="6" t="s">
        <v>6</v>
      </c>
      <c r="D245" s="6"/>
      <c r="E245" s="43"/>
      <c r="F245" s="43"/>
      <c r="G245" s="43"/>
      <c r="H245" s="43"/>
      <c r="I245" s="43"/>
      <c r="J245" s="43"/>
    </row>
    <row r="246" spans="1:10" ht="29.25" customHeight="1" x14ac:dyDescent="0.3">
      <c r="A246" s="90"/>
      <c r="B246" s="90"/>
      <c r="C246" s="112" t="s">
        <v>7</v>
      </c>
      <c r="D246" s="12" t="s">
        <v>218</v>
      </c>
      <c r="E246" s="44">
        <v>502.57053000000002</v>
      </c>
      <c r="F246" s="44">
        <f>484.82157+8.16157</f>
        <v>492.98313999999999</v>
      </c>
      <c r="G246" s="44">
        <v>510.94878</v>
      </c>
      <c r="H246" s="44">
        <v>521</v>
      </c>
      <c r="I246" s="44">
        <v>521.63099999999997</v>
      </c>
      <c r="J246" s="44">
        <v>584</v>
      </c>
    </row>
    <row r="247" spans="1:10" ht="29.25" customHeight="1" x14ac:dyDescent="0.3">
      <c r="A247" s="90"/>
      <c r="B247" s="90"/>
      <c r="C247" s="113"/>
      <c r="D247" s="12" t="s">
        <v>219</v>
      </c>
      <c r="E247" s="44"/>
      <c r="F247" s="44"/>
      <c r="G247" s="44">
        <v>6.0426399999999996</v>
      </c>
      <c r="H247" s="44"/>
      <c r="I247" s="44"/>
      <c r="J247" s="44"/>
    </row>
    <row r="248" spans="1:10" x14ac:dyDescent="0.3">
      <c r="A248" s="90"/>
      <c r="B248" s="90"/>
      <c r="C248" s="114"/>
      <c r="D248" s="12" t="s">
        <v>220</v>
      </c>
      <c r="E248" s="45">
        <v>145.97667999999999</v>
      </c>
      <c r="F248" s="45">
        <v>151.18342999999999</v>
      </c>
      <c r="G248" s="45">
        <v>151.94999999999999</v>
      </c>
      <c r="H248" s="45">
        <v>150</v>
      </c>
      <c r="I248" s="45">
        <v>159.369</v>
      </c>
      <c r="J248" s="45">
        <v>177</v>
      </c>
    </row>
    <row r="249" spans="1:10" ht="21" customHeight="1" x14ac:dyDescent="0.3">
      <c r="A249" s="90"/>
      <c r="B249" s="90"/>
      <c r="C249" s="114"/>
      <c r="D249" s="12" t="s">
        <v>221</v>
      </c>
      <c r="E249" s="45">
        <v>18.464770000000001</v>
      </c>
      <c r="F249" s="45">
        <v>16.125969999999999</v>
      </c>
      <c r="G249" s="45">
        <v>15.51956</v>
      </c>
      <c r="H249" s="45">
        <v>22</v>
      </c>
      <c r="I249" s="45">
        <v>22</v>
      </c>
      <c r="J249" s="45">
        <v>22</v>
      </c>
    </row>
    <row r="250" spans="1:10" ht="21" customHeight="1" x14ac:dyDescent="0.3">
      <c r="A250" s="90"/>
      <c r="B250" s="90"/>
      <c r="C250" s="114"/>
      <c r="D250" s="12" t="s">
        <v>222</v>
      </c>
      <c r="E250" s="45">
        <v>14.5</v>
      </c>
      <c r="F250" s="45">
        <v>11.404999999999999</v>
      </c>
      <c r="G250" s="45">
        <v>8.7780000000000005</v>
      </c>
      <c r="H250" s="45">
        <v>2</v>
      </c>
      <c r="I250" s="45">
        <v>2</v>
      </c>
      <c r="J250" s="45">
        <v>2</v>
      </c>
    </row>
    <row r="251" spans="1:10" ht="22.5" customHeight="1" x14ac:dyDescent="0.3">
      <c r="A251" s="90"/>
      <c r="B251" s="90"/>
      <c r="C251" s="114"/>
      <c r="D251" s="12" t="s">
        <v>223</v>
      </c>
      <c r="E251" s="45">
        <f>1.25</f>
        <v>1.25</v>
      </c>
      <c r="F251" s="45">
        <v>1.5</v>
      </c>
      <c r="G251" s="45">
        <v>4.45</v>
      </c>
      <c r="H251" s="45">
        <v>10</v>
      </c>
      <c r="I251" s="45">
        <v>10</v>
      </c>
      <c r="J251" s="45">
        <v>10</v>
      </c>
    </row>
    <row r="252" spans="1:10" ht="21.75" customHeight="1" x14ac:dyDescent="0.3">
      <c r="A252" s="90"/>
      <c r="B252" s="90"/>
      <c r="C252" s="114"/>
      <c r="D252" s="12" t="s">
        <v>224</v>
      </c>
      <c r="E252" s="45">
        <f>40.399+14</f>
        <v>54.399000000000001</v>
      </c>
      <c r="F252" s="45"/>
      <c r="G252" s="45">
        <v>10</v>
      </c>
      <c r="H252" s="45">
        <v>35</v>
      </c>
      <c r="I252" s="45">
        <v>35</v>
      </c>
      <c r="J252" s="45">
        <v>35</v>
      </c>
    </row>
    <row r="253" spans="1:10" ht="21.75" customHeight="1" x14ac:dyDescent="0.3">
      <c r="A253" s="90"/>
      <c r="B253" s="90"/>
      <c r="C253" s="114"/>
      <c r="D253" s="12" t="s">
        <v>225</v>
      </c>
      <c r="E253" s="45">
        <v>3.6749999999999998</v>
      </c>
      <c r="F253" s="45">
        <f>34+37.72821</f>
        <v>71.72820999999999</v>
      </c>
      <c r="G253" s="45">
        <f>18+22.2</f>
        <v>40.200000000000003</v>
      </c>
      <c r="H253" s="45">
        <v>50</v>
      </c>
      <c r="I253" s="45">
        <v>50</v>
      </c>
      <c r="J253" s="45">
        <v>50</v>
      </c>
    </row>
    <row r="254" spans="1:10" ht="29.25" customHeight="1" x14ac:dyDescent="0.3">
      <c r="A254" s="91"/>
      <c r="B254" s="91"/>
      <c r="C254" s="115"/>
      <c r="D254" s="12" t="s">
        <v>226</v>
      </c>
      <c r="E254" s="45">
        <f>38.91017+4.1925+8.06135</f>
        <v>51.164020000000001</v>
      </c>
      <c r="F254" s="45">
        <f>30.8365+3.151+6.087+6</f>
        <v>46.0745</v>
      </c>
      <c r="G254" s="45">
        <f>78.05102+4.06</f>
        <v>82.111019999999996</v>
      </c>
      <c r="H254" s="45">
        <v>40</v>
      </c>
      <c r="I254" s="45">
        <v>38</v>
      </c>
      <c r="J254" s="45">
        <v>38</v>
      </c>
    </row>
    <row r="255" spans="1:10" ht="30" customHeight="1" x14ac:dyDescent="0.3">
      <c r="A255" s="109" t="s">
        <v>27</v>
      </c>
      <c r="B255" s="111" t="s">
        <v>183</v>
      </c>
      <c r="C255" s="6" t="s">
        <v>5</v>
      </c>
      <c r="D255" s="13"/>
      <c r="E255" s="41">
        <f t="shared" ref="E255:J255" si="37">E257</f>
        <v>3865.5</v>
      </c>
      <c r="F255" s="41">
        <f t="shared" si="37"/>
        <v>4542.3743599999998</v>
      </c>
      <c r="G255" s="41">
        <f t="shared" si="37"/>
        <v>2817.8023699999999</v>
      </c>
      <c r="H255" s="41">
        <f t="shared" si="37"/>
        <v>8100</v>
      </c>
      <c r="I255" s="41">
        <f t="shared" si="37"/>
        <v>8053.9</v>
      </c>
      <c r="J255" s="41">
        <f t="shared" si="37"/>
        <v>8259</v>
      </c>
    </row>
    <row r="256" spans="1:10" x14ac:dyDescent="0.3">
      <c r="A256" s="110"/>
      <c r="B256" s="110"/>
      <c r="C256" s="6" t="s">
        <v>6</v>
      </c>
      <c r="D256" s="6"/>
      <c r="E256" s="64"/>
      <c r="F256" s="64"/>
      <c r="G256" s="43"/>
      <c r="H256" s="64"/>
      <c r="I256" s="64"/>
      <c r="J256" s="64"/>
    </row>
    <row r="257" spans="1:10" ht="49.5" customHeight="1" x14ac:dyDescent="0.3">
      <c r="A257" s="110"/>
      <c r="B257" s="110"/>
      <c r="C257" s="6" t="s">
        <v>7</v>
      </c>
      <c r="D257" s="12" t="s">
        <v>166</v>
      </c>
      <c r="E257" s="44">
        <v>3865.5</v>
      </c>
      <c r="F257" s="44">
        <v>4542.3743599999998</v>
      </c>
      <c r="G257" s="44">
        <v>2817.8023699999999</v>
      </c>
      <c r="H257" s="44">
        <v>8100</v>
      </c>
      <c r="I257" s="44">
        <v>8053.9</v>
      </c>
      <c r="J257" s="44">
        <v>8259</v>
      </c>
    </row>
    <row r="258" spans="1:10" x14ac:dyDescent="0.3">
      <c r="A258" s="109" t="s">
        <v>28</v>
      </c>
      <c r="B258" s="111" t="s">
        <v>184</v>
      </c>
      <c r="C258" s="6" t="s">
        <v>5</v>
      </c>
      <c r="D258" s="56"/>
      <c r="E258" s="41">
        <f t="shared" ref="E258:J258" si="38">E260</f>
        <v>4236.8</v>
      </c>
      <c r="F258" s="41">
        <f>F260</f>
        <v>4642.6809199999998</v>
      </c>
      <c r="G258" s="41">
        <f t="shared" si="38"/>
        <v>4090.89084</v>
      </c>
      <c r="H258" s="41">
        <f t="shared" si="38"/>
        <v>8100</v>
      </c>
      <c r="I258" s="41">
        <f t="shared" si="38"/>
        <v>8611</v>
      </c>
      <c r="J258" s="41">
        <f t="shared" si="38"/>
        <v>8830.6</v>
      </c>
    </row>
    <row r="259" spans="1:10" x14ac:dyDescent="0.3">
      <c r="A259" s="110"/>
      <c r="B259" s="110"/>
      <c r="C259" s="6" t="s">
        <v>6</v>
      </c>
      <c r="D259" s="75"/>
      <c r="E259" s="64"/>
      <c r="F259" s="43"/>
      <c r="G259" s="44"/>
      <c r="H259" s="44"/>
      <c r="I259" s="44"/>
      <c r="J259" s="44"/>
    </row>
    <row r="260" spans="1:10" ht="42" x14ac:dyDescent="0.3">
      <c r="A260" s="110"/>
      <c r="B260" s="110"/>
      <c r="C260" s="6" t="s">
        <v>7</v>
      </c>
      <c r="D260" s="12" t="s">
        <v>169</v>
      </c>
      <c r="E260" s="44">
        <v>4236.8</v>
      </c>
      <c r="F260" s="44">
        <v>4642.6809199999998</v>
      </c>
      <c r="G260" s="44">
        <v>4090.89084</v>
      </c>
      <c r="H260" s="44">
        <v>8100</v>
      </c>
      <c r="I260" s="44">
        <v>8611</v>
      </c>
      <c r="J260" s="44">
        <v>8830.6</v>
      </c>
    </row>
    <row r="261" spans="1:10" x14ac:dyDescent="0.3">
      <c r="A261" s="109" t="s">
        <v>29</v>
      </c>
      <c r="B261" s="111" t="s">
        <v>30</v>
      </c>
      <c r="C261" s="6" t="s">
        <v>5</v>
      </c>
      <c r="D261" s="56"/>
      <c r="E261" s="41">
        <f t="shared" ref="E261:J261" si="39">E263</f>
        <v>365.9</v>
      </c>
      <c r="F261" s="41">
        <f t="shared" si="39"/>
        <v>1051.4000000000001</v>
      </c>
      <c r="G261" s="41">
        <f t="shared" si="39"/>
        <v>341.5</v>
      </c>
      <c r="H261" s="41">
        <f t="shared" si="39"/>
        <v>454.7</v>
      </c>
      <c r="I261" s="41">
        <f t="shared" si="39"/>
        <v>472.8</v>
      </c>
      <c r="J261" s="41">
        <f t="shared" si="39"/>
        <v>511.8</v>
      </c>
    </row>
    <row r="262" spans="1:10" x14ac:dyDescent="0.3">
      <c r="A262" s="110"/>
      <c r="B262" s="110"/>
      <c r="C262" s="6" t="s">
        <v>6</v>
      </c>
      <c r="D262" s="75"/>
      <c r="E262" s="64"/>
      <c r="F262" s="64"/>
      <c r="G262" s="43"/>
      <c r="H262" s="64"/>
      <c r="I262" s="64"/>
      <c r="J262" s="64"/>
    </row>
    <row r="263" spans="1:10" ht="42" x14ac:dyDescent="0.3">
      <c r="A263" s="110"/>
      <c r="B263" s="110"/>
      <c r="C263" s="6" t="s">
        <v>7</v>
      </c>
      <c r="D263" s="12" t="s">
        <v>58</v>
      </c>
      <c r="E263" s="44">
        <v>365.9</v>
      </c>
      <c r="F263" s="44">
        <v>1051.4000000000001</v>
      </c>
      <c r="G263" s="44">
        <v>341.5</v>
      </c>
      <c r="H263" s="44">
        <v>454.7</v>
      </c>
      <c r="I263" s="44">
        <v>472.8</v>
      </c>
      <c r="J263" s="44">
        <v>511.8</v>
      </c>
    </row>
    <row r="264" spans="1:10" x14ac:dyDescent="0.3">
      <c r="A264" s="109" t="s">
        <v>31</v>
      </c>
      <c r="B264" s="111" t="s">
        <v>178</v>
      </c>
      <c r="C264" s="6" t="s">
        <v>5</v>
      </c>
      <c r="D264" s="56"/>
      <c r="E264" s="41">
        <f t="shared" ref="E264:J264" si="40">E266</f>
        <v>4074</v>
      </c>
      <c r="F264" s="41">
        <f t="shared" si="40"/>
        <v>3614.0447199999999</v>
      </c>
      <c r="G264" s="41">
        <f t="shared" si="40"/>
        <v>3855.2067900000002</v>
      </c>
      <c r="H264" s="41">
        <f t="shared" si="40"/>
        <v>6015.5</v>
      </c>
      <c r="I264" s="41">
        <f t="shared" si="40"/>
        <v>7095</v>
      </c>
      <c r="J264" s="41">
        <f t="shared" si="40"/>
        <v>7276</v>
      </c>
    </row>
    <row r="265" spans="1:10" x14ac:dyDescent="0.3">
      <c r="A265" s="110"/>
      <c r="B265" s="110"/>
      <c r="C265" s="6" t="s">
        <v>6</v>
      </c>
      <c r="D265" s="75"/>
      <c r="E265" s="64"/>
      <c r="F265" s="64"/>
      <c r="G265" s="43"/>
      <c r="H265" s="64"/>
      <c r="I265" s="64"/>
      <c r="J265" s="64"/>
    </row>
    <row r="266" spans="1:10" ht="42" x14ac:dyDescent="0.3">
      <c r="A266" s="110"/>
      <c r="B266" s="110"/>
      <c r="C266" s="6" t="s">
        <v>7</v>
      </c>
      <c r="D266" s="12" t="s">
        <v>170</v>
      </c>
      <c r="E266" s="44">
        <v>4074</v>
      </c>
      <c r="F266" s="44">
        <v>3614.0447199999999</v>
      </c>
      <c r="G266" s="44">
        <v>3855.2067900000002</v>
      </c>
      <c r="H266" s="44">
        <v>6015.5</v>
      </c>
      <c r="I266" s="44">
        <v>7095</v>
      </c>
      <c r="J266" s="44">
        <v>7276</v>
      </c>
    </row>
    <row r="267" spans="1:10" x14ac:dyDescent="0.3">
      <c r="A267" s="88" t="s">
        <v>39</v>
      </c>
      <c r="B267" s="105" t="s">
        <v>16</v>
      </c>
      <c r="C267" s="13" t="s">
        <v>5</v>
      </c>
      <c r="D267" s="76" t="s">
        <v>32</v>
      </c>
      <c r="E267" s="41">
        <f t="shared" ref="E267:J267" si="41">E269</f>
        <v>95.1</v>
      </c>
      <c r="F267" s="41">
        <f>F269</f>
        <v>59</v>
      </c>
      <c r="G267" s="41">
        <f t="shared" si="41"/>
        <v>36.5</v>
      </c>
      <c r="H267" s="41">
        <f t="shared" si="41"/>
        <v>99</v>
      </c>
      <c r="I267" s="41">
        <f t="shared" si="41"/>
        <v>99</v>
      </c>
      <c r="J267" s="41">
        <f t="shared" si="41"/>
        <v>99</v>
      </c>
    </row>
    <row r="268" spans="1:10" x14ac:dyDescent="0.3">
      <c r="A268" s="90"/>
      <c r="B268" s="107"/>
      <c r="C268" s="7" t="s">
        <v>6</v>
      </c>
      <c r="D268" s="77"/>
      <c r="E268" s="64"/>
      <c r="F268" s="64"/>
      <c r="G268" s="28"/>
      <c r="H268" s="64"/>
      <c r="I268" s="64"/>
      <c r="J268" s="64"/>
    </row>
    <row r="269" spans="1:10" ht="42" x14ac:dyDescent="0.3">
      <c r="A269" s="91"/>
      <c r="B269" s="108"/>
      <c r="C269" s="7" t="s">
        <v>7</v>
      </c>
      <c r="D269" s="12" t="s">
        <v>59</v>
      </c>
      <c r="E269" s="28">
        <v>95.1</v>
      </c>
      <c r="F269" s="28">
        <v>59</v>
      </c>
      <c r="G269" s="28">
        <v>36.5</v>
      </c>
      <c r="H269" s="28">
        <v>99</v>
      </c>
      <c r="I269" s="28">
        <v>99</v>
      </c>
      <c r="J269" s="28">
        <v>99</v>
      </c>
    </row>
    <row r="270" spans="1:10" x14ac:dyDescent="0.3">
      <c r="F270" s="54"/>
      <c r="G270" s="54"/>
    </row>
    <row r="271" spans="1:10" ht="15.6" x14ac:dyDescent="0.3">
      <c r="A271" s="46" t="s">
        <v>48</v>
      </c>
      <c r="B271" s="46"/>
      <c r="C271" s="46"/>
      <c r="D271" s="46"/>
      <c r="E271" s="47"/>
      <c r="F271" s="47" t="s">
        <v>54</v>
      </c>
      <c r="G271" s="20"/>
      <c r="H271" s="26"/>
      <c r="I271" s="20"/>
      <c r="J271" s="20"/>
    </row>
    <row r="272" spans="1:10" ht="15.6" x14ac:dyDescent="0.3">
      <c r="A272" s="3"/>
      <c r="D272" s="26"/>
      <c r="E272" s="20"/>
      <c r="F272" s="20"/>
      <c r="G272" s="20"/>
      <c r="H272" s="20"/>
      <c r="I272" s="20"/>
      <c r="J272" s="20"/>
    </row>
    <row r="273" spans="1:6" ht="15.6" x14ac:dyDescent="0.3">
      <c r="A273" s="3"/>
      <c r="E273" s="20"/>
      <c r="F273" s="20"/>
    </row>
    <row r="274" spans="1:6" x14ac:dyDescent="0.3">
      <c r="E274" s="20"/>
    </row>
    <row r="275" spans="1:6" x14ac:dyDescent="0.3">
      <c r="E275" s="20"/>
    </row>
  </sheetData>
  <mergeCells count="58">
    <mergeCell ref="F1:G1"/>
    <mergeCell ref="A7:A8"/>
    <mergeCell ref="B7:B8"/>
    <mergeCell ref="C7:C8"/>
    <mergeCell ref="D7:D8"/>
    <mergeCell ref="E7:J7"/>
    <mergeCell ref="A4:J5"/>
    <mergeCell ref="A10:A12"/>
    <mergeCell ref="B10:B12"/>
    <mergeCell ref="A13:A15"/>
    <mergeCell ref="B13:B15"/>
    <mergeCell ref="A16:A26"/>
    <mergeCell ref="B16:B26"/>
    <mergeCell ref="A171:A173"/>
    <mergeCell ref="B171:B173"/>
    <mergeCell ref="C123:C128"/>
    <mergeCell ref="C18:C26"/>
    <mergeCell ref="A27:A42"/>
    <mergeCell ref="B27:B42"/>
    <mergeCell ref="C29:C42"/>
    <mergeCell ref="A43:A46"/>
    <mergeCell ref="B43:B46"/>
    <mergeCell ref="A47:A118"/>
    <mergeCell ref="B47:B86"/>
    <mergeCell ref="C51:C86"/>
    <mergeCell ref="B87:B118"/>
    <mergeCell ref="C91:C118"/>
    <mergeCell ref="A119:A130"/>
    <mergeCell ref="B119:B130"/>
    <mergeCell ref="A153:A156"/>
    <mergeCell ref="B153:B156"/>
    <mergeCell ref="A157:A170"/>
    <mergeCell ref="B157:B170"/>
    <mergeCell ref="C164:C170"/>
    <mergeCell ref="A131:A133"/>
    <mergeCell ref="B131:B133"/>
    <mergeCell ref="A134:A152"/>
    <mergeCell ref="B134:B152"/>
    <mergeCell ref="C139:C152"/>
    <mergeCell ref="A244:A254"/>
    <mergeCell ref="B244:B254"/>
    <mergeCell ref="C246:C254"/>
    <mergeCell ref="A174:A198"/>
    <mergeCell ref="B174:B198"/>
    <mergeCell ref="C176:C198"/>
    <mergeCell ref="A199:A243"/>
    <mergeCell ref="B199:B243"/>
    <mergeCell ref="C201:C243"/>
    <mergeCell ref="A267:A269"/>
    <mergeCell ref="B267:B269"/>
    <mergeCell ref="A264:A266"/>
    <mergeCell ref="B264:B266"/>
    <mergeCell ref="A255:A257"/>
    <mergeCell ref="B255:B257"/>
    <mergeCell ref="A258:A260"/>
    <mergeCell ref="B258:B260"/>
    <mergeCell ref="A261:A263"/>
    <mergeCell ref="B261:B263"/>
  </mergeCells>
  <pageMargins left="0.34" right="0.15748031496062992" top="0.35433070866141736" bottom="0.15748031496062992" header="0.15748031496062992" footer="0.15748031496062992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2021-03-23T05:36:05Z</dcterms:modified>
</cp:coreProperties>
</file>