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05" windowWidth="15120" windowHeight="7710" activeTab="1"/>
  </bookViews>
  <sheets>
    <sheet name="Приложение 1" sheetId="12" r:id="rId1"/>
    <sheet name="приложение 2" sheetId="11" r:id="rId2"/>
  </sheets>
  <externalReferences>
    <externalReference r:id="rId3"/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D38" i="12"/>
  <c r="E47" i="11"/>
  <c r="E132" l="1"/>
  <c r="E145"/>
  <c r="G127"/>
  <c r="H127"/>
  <c r="I127"/>
  <c r="J127"/>
  <c r="E135" l="1"/>
  <c r="E42" i="12" l="1"/>
  <c r="G102"/>
  <c r="F102"/>
  <c r="G42"/>
  <c r="F42"/>
  <c r="G46" i="11"/>
  <c r="H46"/>
  <c r="H44" s="1"/>
  <c r="G44"/>
  <c r="G190"/>
  <c r="H189"/>
  <c r="G189"/>
  <c r="H176"/>
  <c r="G176"/>
  <c r="H174"/>
  <c r="G174"/>
  <c r="H173"/>
  <c r="G173"/>
  <c r="H169"/>
  <c r="G169"/>
  <c r="H159"/>
  <c r="G159"/>
  <c r="H154"/>
  <c r="G154"/>
  <c r="H151"/>
  <c r="G151"/>
  <c r="H149"/>
  <c r="G149"/>
  <c r="H148"/>
  <c r="G148"/>
  <c r="H103"/>
  <c r="G103"/>
  <c r="G98" s="1"/>
  <c r="H90"/>
  <c r="G90"/>
  <c r="G79"/>
  <c r="F101" l="1"/>
  <c r="F100"/>
  <c r="F99"/>
  <c r="F90" l="1"/>
  <c r="F44"/>
  <c r="F213" l="1"/>
  <c r="F194"/>
  <c r="F193"/>
  <c r="F192"/>
  <c r="F189"/>
  <c r="F148"/>
  <c r="F190" l="1"/>
  <c r="F131"/>
  <c r="F130"/>
  <c r="F129"/>
  <c r="F127" s="1"/>
  <c r="F82"/>
  <c r="F80" s="1"/>
  <c r="F70" l="1"/>
  <c r="F68"/>
  <c r="F67"/>
  <c r="F65" l="1"/>
  <c r="F35" l="1"/>
  <c r="F33"/>
  <c r="F32"/>
  <c r="F24"/>
  <c r="G82" l="1"/>
  <c r="H82"/>
  <c r="H80" s="1"/>
  <c r="I82"/>
  <c r="I80" s="1"/>
  <c r="J82"/>
  <c r="G80"/>
  <c r="J80"/>
  <c r="D73" i="12"/>
  <c r="D78"/>
  <c r="D53"/>
  <c r="D52"/>
  <c r="D37"/>
  <c r="E89" i="11"/>
  <c r="E79"/>
  <c r="E78"/>
  <c r="E213"/>
  <c r="E199"/>
  <c r="E197"/>
  <c r="E196"/>
  <c r="E133"/>
  <c r="E127" s="1"/>
  <c r="E114"/>
  <c r="E104"/>
  <c r="E109"/>
  <c r="E103"/>
  <c r="E102"/>
  <c r="E98" s="1"/>
  <c r="E62"/>
  <c r="E64"/>
  <c r="E85"/>
  <c r="E90"/>
  <c r="E72"/>
  <c r="E71"/>
  <c r="E51"/>
  <c r="E88"/>
  <c r="E84"/>
  <c r="E70"/>
  <c r="E46"/>
  <c r="E44" s="1"/>
  <c r="E39"/>
  <c r="E35"/>
  <c r="E33"/>
  <c r="E36"/>
  <c r="E32"/>
  <c r="E24"/>
  <c r="E23"/>
  <c r="E22"/>
  <c r="E19"/>
  <c r="E18"/>
  <c r="E82" l="1"/>
  <c r="E80" s="1"/>
  <c r="E190"/>
  <c r="E65"/>
  <c r="E27"/>
  <c r="F70" i="12" l="1"/>
  <c r="G70"/>
  <c r="E50" l="1"/>
  <c r="E48"/>
  <c r="E66"/>
  <c r="H66"/>
  <c r="I66"/>
  <c r="D66"/>
  <c r="E67"/>
  <c r="H67"/>
  <c r="I67"/>
  <c r="D67"/>
  <c r="E68"/>
  <c r="G68"/>
  <c r="H68"/>
  <c r="I68"/>
  <c r="D68"/>
  <c r="E69"/>
  <c r="F69"/>
  <c r="G69"/>
  <c r="H69"/>
  <c r="I69"/>
  <c r="D69"/>
  <c r="H190" i="11"/>
  <c r="F114"/>
  <c r="G114"/>
  <c r="H114"/>
  <c r="I114"/>
  <c r="J114"/>
  <c r="H98"/>
  <c r="I98"/>
  <c r="J98"/>
  <c r="G65"/>
  <c r="H65"/>
  <c r="I65"/>
  <c r="J65"/>
  <c r="H41"/>
  <c r="I44"/>
  <c r="J44"/>
  <c r="G27"/>
  <c r="H27"/>
  <c r="I27"/>
  <c r="J27"/>
  <c r="F31"/>
  <c r="G80" i="12"/>
  <c r="H80"/>
  <c r="I80"/>
  <c r="I41" i="11"/>
  <c r="J41"/>
  <c r="H16"/>
  <c r="I16"/>
  <c r="J16"/>
  <c r="G48" i="12"/>
  <c r="F48"/>
  <c r="F49"/>
  <c r="G49"/>
  <c r="H49"/>
  <c r="H48"/>
  <c r="I48"/>
  <c r="G38" l="1"/>
  <c r="J176" i="11"/>
  <c r="J174" s="1"/>
  <c r="I176"/>
  <c r="I174" s="1"/>
  <c r="J173"/>
  <c r="I173"/>
  <c r="J169"/>
  <c r="I169"/>
  <c r="J159"/>
  <c r="I159"/>
  <c r="J154"/>
  <c r="I154"/>
  <c r="J151"/>
  <c r="J149" s="1"/>
  <c r="I151"/>
  <c r="I149" s="1"/>
  <c r="G16" l="1"/>
  <c r="F210"/>
  <c r="E210"/>
  <c r="F207"/>
  <c r="E207"/>
  <c r="F204"/>
  <c r="E204"/>
  <c r="F201"/>
  <c r="E201"/>
  <c r="F176"/>
  <c r="E176"/>
  <c r="F174"/>
  <c r="E174"/>
  <c r="F173"/>
  <c r="E173"/>
  <c r="F169"/>
  <c r="E169"/>
  <c r="F159"/>
  <c r="E159"/>
  <c r="F154"/>
  <c r="E154"/>
  <c r="F151"/>
  <c r="E151"/>
  <c r="F149"/>
  <c r="E149"/>
  <c r="F146"/>
  <c r="F124" s="1"/>
  <c r="E146"/>
  <c r="F113"/>
  <c r="E113"/>
  <c r="F110"/>
  <c r="E110"/>
  <c r="E91"/>
  <c r="E41"/>
  <c r="F37"/>
  <c r="E37"/>
  <c r="E25"/>
  <c r="F21"/>
  <c r="E16"/>
  <c r="D105" i="12"/>
  <c r="D100"/>
  <c r="D95"/>
  <c r="D90"/>
  <c r="D85"/>
  <c r="D80"/>
  <c r="D75"/>
  <c r="D70"/>
  <c r="D60"/>
  <c r="D59"/>
  <c r="D58"/>
  <c r="D57"/>
  <c r="D56"/>
  <c r="D50"/>
  <c r="D49"/>
  <c r="D47"/>
  <c r="D46"/>
  <c r="D40"/>
  <c r="D35"/>
  <c r="D30"/>
  <c r="D25"/>
  <c r="D20"/>
  <c r="D19"/>
  <c r="D18"/>
  <c r="D17"/>
  <c r="D16"/>
  <c r="E105"/>
  <c r="E100"/>
  <c r="E95"/>
  <c r="E90"/>
  <c r="E85"/>
  <c r="E80"/>
  <c r="E75"/>
  <c r="E70"/>
  <c r="E65"/>
  <c r="E60"/>
  <c r="E59"/>
  <c r="E58"/>
  <c r="E57"/>
  <c r="E56"/>
  <c r="E55" s="1"/>
  <c r="E49"/>
  <c r="E47"/>
  <c r="E46"/>
  <c r="E40"/>
  <c r="E30"/>
  <c r="E25"/>
  <c r="E20"/>
  <c r="E19"/>
  <c r="E17"/>
  <c r="E16"/>
  <c r="E14"/>
  <c r="F48" i="11" l="1"/>
  <c r="F49" s="1"/>
  <c r="E12" i="12"/>
  <c r="E45"/>
  <c r="D12"/>
  <c r="E124" i="11"/>
  <c r="D14" i="12"/>
  <c r="F98" i="11"/>
  <c r="F91" s="1"/>
  <c r="F41"/>
  <c r="E38" i="12" s="1"/>
  <c r="F27" i="11"/>
  <c r="F25" s="1"/>
  <c r="F16"/>
  <c r="E15"/>
  <c r="E13" s="1"/>
  <c r="E11" i="12"/>
  <c r="D11"/>
  <c r="D13"/>
  <c r="D15"/>
  <c r="D45"/>
  <c r="D55"/>
  <c r="D65"/>
  <c r="G47"/>
  <c r="E35" l="1"/>
  <c r="E18"/>
  <c r="F15" i="11"/>
  <c r="E12"/>
  <c r="E10" s="1"/>
  <c r="D10" i="12"/>
  <c r="G58"/>
  <c r="H58"/>
  <c r="I58"/>
  <c r="E15" l="1"/>
  <c r="E13"/>
  <c r="F13" i="11"/>
  <c r="H213"/>
  <c r="F12" l="1"/>
  <c r="F10" s="1"/>
  <c r="F50" i="12"/>
  <c r="H75"/>
  <c r="I75"/>
  <c r="H40"/>
  <c r="I40"/>
  <c r="H35"/>
  <c r="I35"/>
  <c r="H30"/>
  <c r="I30"/>
  <c r="H16"/>
  <c r="I16"/>
  <c r="H17"/>
  <c r="I17"/>
  <c r="H18"/>
  <c r="I18"/>
  <c r="H19"/>
  <c r="I19"/>
  <c r="G16"/>
  <c r="G17"/>
  <c r="G18"/>
  <c r="G13" s="1"/>
  <c r="G19"/>
  <c r="G66"/>
  <c r="F19"/>
  <c r="H91" i="11"/>
  <c r="I91"/>
  <c r="J91"/>
  <c r="H207"/>
  <c r="G67" i="12" l="1"/>
  <c r="F80" l="1"/>
  <c r="G41" i="11"/>
  <c r="F38" i="12" s="1"/>
  <c r="F18" s="1"/>
  <c r="G25" i="11"/>
  <c r="F17" i="12" l="1"/>
  <c r="H113" i="11"/>
  <c r="H110" s="1"/>
  <c r="I105" i="12" l="1"/>
  <c r="H105"/>
  <c r="G105"/>
  <c r="F105"/>
  <c r="F100"/>
  <c r="I100"/>
  <c r="H100"/>
  <c r="G100"/>
  <c r="F66"/>
  <c r="I95"/>
  <c r="H95"/>
  <c r="G95"/>
  <c r="I90"/>
  <c r="H90"/>
  <c r="G90"/>
  <c r="I85"/>
  <c r="H85"/>
  <c r="G85"/>
  <c r="G75"/>
  <c r="I70"/>
  <c r="H70"/>
  <c r="I60"/>
  <c r="H60"/>
  <c r="G60"/>
  <c r="F60"/>
  <c r="I59"/>
  <c r="H59"/>
  <c r="G59"/>
  <c r="G14" s="1"/>
  <c r="F59"/>
  <c r="F58"/>
  <c r="I57"/>
  <c r="H57"/>
  <c r="G57"/>
  <c r="F57"/>
  <c r="I56"/>
  <c r="H56"/>
  <c r="G56"/>
  <c r="F56"/>
  <c r="I50"/>
  <c r="H50"/>
  <c r="G50"/>
  <c r="I49"/>
  <c r="I47"/>
  <c r="H47"/>
  <c r="F47"/>
  <c r="I46"/>
  <c r="H46"/>
  <c r="G46"/>
  <c r="F46"/>
  <c r="G40"/>
  <c r="F40"/>
  <c r="F35"/>
  <c r="G35"/>
  <c r="G30"/>
  <c r="F30"/>
  <c r="I25"/>
  <c r="H25"/>
  <c r="G25"/>
  <c r="F25"/>
  <c r="I20"/>
  <c r="H20"/>
  <c r="G20"/>
  <c r="F20"/>
  <c r="G15"/>
  <c r="F16"/>
  <c r="I15"/>
  <c r="H55" l="1"/>
  <c r="F67"/>
  <c r="F55"/>
  <c r="F90"/>
  <c r="F95"/>
  <c r="F15"/>
  <c r="G55"/>
  <c r="F85"/>
  <c r="I13"/>
  <c r="I55"/>
  <c r="H65"/>
  <c r="G11"/>
  <c r="H12"/>
  <c r="F14"/>
  <c r="H14"/>
  <c r="G12"/>
  <c r="I12"/>
  <c r="H13"/>
  <c r="I14"/>
  <c r="I65"/>
  <c r="H45"/>
  <c r="H11"/>
  <c r="I45"/>
  <c r="I11"/>
  <c r="H15"/>
  <c r="F45"/>
  <c r="G45"/>
  <c r="F11" l="1"/>
  <c r="I10"/>
  <c r="H10"/>
  <c r="F12"/>
  <c r="E10" l="1"/>
  <c r="J213" i="11" l="1"/>
  <c r="I213"/>
  <c r="G213"/>
  <c r="J210"/>
  <c r="I210"/>
  <c r="H210"/>
  <c r="G210"/>
  <c r="J207"/>
  <c r="I207"/>
  <c r="G207"/>
  <c r="J204"/>
  <c r="I204"/>
  <c r="H204"/>
  <c r="G204"/>
  <c r="J201"/>
  <c r="I201"/>
  <c r="H201"/>
  <c r="G201"/>
  <c r="J190"/>
  <c r="I190"/>
  <c r="J146"/>
  <c r="I146"/>
  <c r="H146"/>
  <c r="G146"/>
  <c r="J113"/>
  <c r="J110" s="1"/>
  <c r="I113"/>
  <c r="I110" s="1"/>
  <c r="G113"/>
  <c r="G110" s="1"/>
  <c r="G91"/>
  <c r="J37"/>
  <c r="I37"/>
  <c r="H37"/>
  <c r="G37"/>
  <c r="G15" s="1"/>
  <c r="G13" s="1"/>
  <c r="I25"/>
  <c r="H25"/>
  <c r="J25"/>
  <c r="J15" s="1"/>
  <c r="J13" s="1"/>
  <c r="H15" l="1"/>
  <c r="H13" s="1"/>
  <c r="I15"/>
  <c r="I13" s="1"/>
  <c r="I124"/>
  <c r="H124"/>
  <c r="J124"/>
  <c r="G124"/>
  <c r="I12"/>
  <c r="I10" s="1"/>
  <c r="F75" i="12"/>
  <c r="J12" i="11" l="1"/>
  <c r="J10" s="1"/>
  <c r="F68" i="12"/>
  <c r="H12" i="11"/>
  <c r="H10" s="1"/>
  <c r="G12"/>
  <c r="G10" s="1"/>
  <c r="F65" i="12" l="1"/>
  <c r="F13"/>
  <c r="G65"/>
  <c r="F10" l="1"/>
  <c r="G10"/>
</calcChain>
</file>

<file path=xl/sharedStrings.xml><?xml version="1.0" encoding="utf-8"?>
<sst xmlns="http://schemas.openxmlformats.org/spreadsheetml/2006/main" count="432" uniqueCount="187">
  <si>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</si>
  <si>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</si>
  <si>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</si>
  <si>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</si>
  <si>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>МУНИЦИПАЛЬНАЯ ПРОГРАММА</t>
  </si>
  <si>
    <t>всего</t>
  </si>
  <si>
    <t>в том числе по ГРБС:</t>
  </si>
  <si>
    <t>Администрация Нижнедевицкого муниципального района</t>
  </si>
  <si>
    <t>ПОДПРОГРАММА 1</t>
  </si>
  <si>
    <t xml:space="preserve">Основное мероприятие 1.1 </t>
  </si>
  <si>
    <t>ПОДПРОГРАММА 2</t>
  </si>
  <si>
    <t>в том числе по статьям расходов:</t>
  </si>
  <si>
    <t>ПРОЧИЕ  расходы</t>
  </si>
  <si>
    <t>Вовлечение молодежи в социальну практику</t>
  </si>
  <si>
    <t>ПОДПРОГРАММА 3</t>
  </si>
  <si>
    <t>Код бюджетной классификации 
(областной
бюджет)</t>
  </si>
  <si>
    <t>«Создание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района»</t>
  </si>
  <si>
    <t>«Создание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района»</t>
  </si>
  <si>
    <t>«Обеспечение учащихся общеобразовательных учреждений молочной продукцией»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</si>
  <si>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</si>
  <si>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Основное мероприятие 1.4</t>
  </si>
  <si>
    <t>Основное мероприятие 1.5</t>
  </si>
  <si>
    <t>Мероприятия по организации отдыха и оздоровления детей и молодежи</t>
  </si>
  <si>
    <t xml:space="preserve">Расходы на обеспечение функции муниципальных органов </t>
  </si>
  <si>
    <t>924 0709 0148070111211</t>
  </si>
  <si>
    <t xml:space="preserve">Мероприятия в области дополнительного образования и воспитания детей в рамках подпрограммы «Развитие дополнительного образования и воспитания» муниципальной программы  Нижнедевицкого муниципального района Воронежской области «Развитие образования» </t>
  </si>
  <si>
    <t xml:space="preserve">Основное мероприятие 2.1 </t>
  </si>
  <si>
    <t>Основное мероприятие 4.1</t>
  </si>
  <si>
    <t>Основное мероприятие 4. 2</t>
  </si>
  <si>
    <t>924 0709 0148070111213</t>
  </si>
  <si>
    <t>Основное мероприятие 3.1</t>
  </si>
  <si>
    <t>Основное мероприятие 4. 3</t>
  </si>
  <si>
    <t>Субвенции на обеспечение выплат семьям опекунов на содержание подопечных детей</t>
  </si>
  <si>
    <t>Основное мероприятие 4. 4</t>
  </si>
  <si>
    <t>Основное мероприятие 4. 5</t>
  </si>
  <si>
    <t>Основное мероприятие 4. 6</t>
  </si>
  <si>
    <t>Субвенции на обеспечение выплаты вознаграждения, причитающегося приемному родителю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</si>
  <si>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</si>
  <si>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4. 9</t>
  </si>
  <si>
    <t>924 0701 011 7815 244262</t>
  </si>
  <si>
    <t xml:space="preserve">Развите дошкольного  и общего образования </t>
  </si>
  <si>
    <t xml:space="preserve">Развите дополнительного образования </t>
  </si>
  <si>
    <t xml:space="preserve">ПОДПРОГРАММА 4
</t>
  </si>
  <si>
    <t xml:space="preserve">"Обеспечение реализации    муниципальной  программы" </t>
  </si>
  <si>
    <t xml:space="preserve">Расходы  на обеспечение деятельности  муниципального учреждения </t>
  </si>
  <si>
    <t>Выполнение других расходных обязвтельств</t>
  </si>
  <si>
    <t>Выполнение переданных полномочий по организации и осуществлению деятельности по опеке и попечительству  в рамках подпрограммы «Социализация детей-сирот и детей, нуждающихся в особой защите государства» муниципальной программы Нижнедевицкого муниципального района «Развитие образования»</t>
  </si>
  <si>
    <t xml:space="preserve">Молодежь </t>
  </si>
  <si>
    <t>Основное мероприятие 4.10</t>
  </si>
  <si>
    <t>всего, в том числе:</t>
  </si>
  <si>
    <t xml:space="preserve">федеральный бюджет </t>
  </si>
  <si>
    <t>областной бюджет</t>
  </si>
  <si>
    <t>местный бюджет</t>
  </si>
  <si>
    <t>внебюджетне средства</t>
  </si>
  <si>
    <t>внебюджетные средства</t>
  </si>
  <si>
    <t xml:space="preserve">Основное мероприятие 1.2 </t>
  </si>
  <si>
    <t>Основное мероприятие 1.3</t>
  </si>
  <si>
    <t xml:space="preserve">Руководитель отдела по образованию, спорту и работе с молодежью </t>
  </si>
  <si>
    <t>Приложение № 1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</si>
  <si>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>Приложение № 2
к Порядку принятия решений о разработке, реализации и оценке эффективности муниципальных программ Нижнедевицкого муниципального района Воронежской области</t>
  </si>
  <si>
    <t xml:space="preserve"> к постановлению администрации Нижнедевицкого муниципального района</t>
  </si>
  <si>
    <t>к постановлению администрации Нижнедевицкого муниципального района</t>
  </si>
  <si>
    <t>Основное мероприятие 1.2</t>
  </si>
  <si>
    <t>О.И.Шмойлова</t>
  </si>
  <si>
    <t>924 0702  01102 781 20 111211</t>
  </si>
  <si>
    <t>924 0702 01102 781 20 119 213</t>
  </si>
  <si>
    <t>924 0702 01102 781 20  242 221</t>
  </si>
  <si>
    <t>924 01 13  01403 78240244 226</t>
  </si>
  <si>
    <t>924 01 13  01403 78240 242 310</t>
  </si>
  <si>
    <t>924 01 13  01403 78240244 340</t>
  </si>
  <si>
    <t>92410040140478200313262</t>
  </si>
  <si>
    <t>92410040140478190323262</t>
  </si>
  <si>
    <t>92410040140452600313262</t>
  </si>
  <si>
    <t>92410040140478180313262</t>
  </si>
  <si>
    <t>92410040140678150313262</t>
  </si>
  <si>
    <t xml:space="preserve">Развитие дошкольного  и общего образования </t>
  </si>
  <si>
    <t xml:space="preserve">Развитие дополнительного образования </t>
  </si>
  <si>
    <t>2018
(первый год реализации)</t>
  </si>
  <si>
    <t>2019
(второй год реализации)</t>
  </si>
  <si>
    <t xml:space="preserve">2020
(третий год реализации) </t>
  </si>
  <si>
    <t xml:space="preserve">2021
(четвертый год реализации) </t>
  </si>
  <si>
    <t xml:space="preserve">2022
(пятый год реализации) </t>
  </si>
  <si>
    <t xml:space="preserve">2023
(шестой год реализации) </t>
  </si>
  <si>
    <t>924 0701 0110178290 111 211</t>
  </si>
  <si>
    <t>924 0701 0110178290 119 213</t>
  </si>
  <si>
    <t>924 0701 0110178290 242 221</t>
  </si>
  <si>
    <t>924 0701 0110178290 244 225</t>
  </si>
  <si>
    <t>924 0701 0110178290 244 226</t>
  </si>
  <si>
    <t>924 0701 0110178290 244 310</t>
  </si>
  <si>
    <t>924 0701 0110178290 244 340</t>
  </si>
  <si>
    <t>924 07 02 01103S8130 244 340</t>
  </si>
  <si>
    <t>924 0702 0110 27812 0 600241</t>
  </si>
  <si>
    <t>924 0702 01102 781 20  244 222</t>
  </si>
  <si>
    <t>924 0702 01102 781 20  244 225</t>
  </si>
  <si>
    <t>924 0702 01102 781 20  244 226</t>
  </si>
  <si>
    <t>924 0702 01102 781 20  244 310</t>
  </si>
  <si>
    <t>924 0702 01102 781 20  244 340</t>
  </si>
  <si>
    <t>924 0702 01102 00590 600241</t>
  </si>
  <si>
    <t>924 0702 01102 00590 242 221</t>
  </si>
  <si>
    <t>924 0702 01102 00590 244 223</t>
  </si>
  <si>
    <t>924 0702 01102 00590 244 225</t>
  </si>
  <si>
    <t>924 0702 01102S1630 244 226</t>
  </si>
  <si>
    <t>924 0702 01102 00590 244 226</t>
  </si>
  <si>
    <t>924 0702 01102 00590 851 290</t>
  </si>
  <si>
    <t>924 0702 0110 00590  244 340</t>
  </si>
  <si>
    <t>924 0701 01101 00590 111 211</t>
  </si>
  <si>
    <t>925 0701 01101 00590 119 213</t>
  </si>
  <si>
    <t>926 0701 01101 00590 242 221</t>
  </si>
  <si>
    <t>927 0701 01101 00590 244 223</t>
  </si>
  <si>
    <t>928 0701 01101 00590 244 225</t>
  </si>
  <si>
    <t>929 0701 01101 00590 244 226</t>
  </si>
  <si>
    <t>930 0701 01101 00590 851 290</t>
  </si>
  <si>
    <t>929 0701 01101 00590 244 340</t>
  </si>
  <si>
    <t>924 0707 0130188310  244 290</t>
  </si>
  <si>
    <t>924 0707 0130188310  244 340</t>
  </si>
  <si>
    <t>924 0709 0140280200 111 211</t>
  </si>
  <si>
    <t>924 0709 0140280200 119 213</t>
  </si>
  <si>
    <t>924 0709 0140280200  242 221</t>
  </si>
  <si>
    <t>925 0709 0140280200  244 223</t>
  </si>
  <si>
    <t>925 0709 0140280200  244 225</t>
  </si>
  <si>
    <t>925 0709 0140280200  244 226</t>
  </si>
  <si>
    <t>925 0709 0140280200  851 290</t>
  </si>
  <si>
    <t>925 0709 0140280200  244 340</t>
  </si>
  <si>
    <t>924 01 13  01403 78240 242 221</t>
  </si>
  <si>
    <t>924 01 13  01403 78240 244 225</t>
  </si>
  <si>
    <t>924 01 13 01403 78240 121 211</t>
  </si>
  <si>
    <t>924 01 13 01403 78240 129 213</t>
  </si>
  <si>
    <t>924 0709 0140182010 121  211</t>
  </si>
  <si>
    <t>924 0709 0140182010 129  213</t>
  </si>
  <si>
    <t xml:space="preserve"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муниципальной программы Нижнедевицкого муниципального района на 2018-2023гг "Развития образования "                                                                         </t>
  </si>
  <si>
    <t xml:space="preserve">Расходы на реализацию муниципальной программы Нижнедевицкого муниципального района Воронежской области   муниципальной программы Нижнедевицкого муниципального района на 2018-2023гг "Развития образования "                                                                                                                                                                                                                                           Нижнедевицкого муниципального района Воронежской области                                                                      _____________________________________________________________________                                 </t>
  </si>
  <si>
    <t>924 0702 01102 781 20  852 291</t>
  </si>
  <si>
    <t>924 0702 01102 00590 851 291</t>
  </si>
  <si>
    <t>924 0702 01102 00590 244 310</t>
  </si>
  <si>
    <t>924 0702 01102 00590 340 296</t>
  </si>
  <si>
    <t>924 0702 01102 00590 853 292</t>
  </si>
  <si>
    <t>924 0702 01102 00590 853 290</t>
  </si>
  <si>
    <t>924 0702 01102 00590 244 290</t>
  </si>
  <si>
    <t>924 0702 01102 00590 852 291</t>
  </si>
  <si>
    <t>924 0702 01102 S0870  244 225</t>
  </si>
  <si>
    <t>930 0701 01101 00590 853 295</t>
  </si>
  <si>
    <t>930 0701 01101 00590 851 291</t>
  </si>
  <si>
    <t>930 0701 01101 00590 853 290</t>
  </si>
  <si>
    <t>930 0701 01101 00590 853 292</t>
  </si>
  <si>
    <t>924 0702 01102 00590 853 295</t>
  </si>
  <si>
    <t>929 0701 01101 00590 244 310</t>
  </si>
  <si>
    <t>924 07 07 011 05S8320 244 225</t>
  </si>
  <si>
    <t>924 07 07 011 05S8320 244 226</t>
  </si>
  <si>
    <t>924 07 07 011 05S8410 244 226</t>
  </si>
  <si>
    <t>924 07 07 011 05S8320 244 310</t>
  </si>
  <si>
    <t>924 07 07 011 05S8320 244 340</t>
  </si>
  <si>
    <t>924 0702 01102S1630 244 340</t>
  </si>
  <si>
    <t>924 0703 01200 00590 111211</t>
  </si>
  <si>
    <t>924 0703 01200 00590119213</t>
  </si>
  <si>
    <t>924 0703  01200 00590242221</t>
  </si>
  <si>
    <t>924 0703  01200 00590244223</t>
  </si>
  <si>
    <t>924 0703  01200 00590 244225</t>
  </si>
  <si>
    <t>924 0703  01200 00590 244226</t>
  </si>
  <si>
    <t>924 0703  01200 00590 851 290</t>
  </si>
  <si>
    <t>924 0703  01200 00590 851 291</t>
  </si>
  <si>
    <t>924 0703  01200 00590 853 292</t>
  </si>
  <si>
    <t>924 0703  01200 00590244340</t>
  </si>
  <si>
    <t>924 0703 01200 0059 600 241</t>
  </si>
  <si>
    <t>924 0707 0130188310  244 296</t>
  </si>
  <si>
    <t>924 0707 0130188310  244 226</t>
  </si>
  <si>
    <t>924 0707 0130188310  853 290</t>
  </si>
  <si>
    <t>924 0707 0130188310  853  296</t>
  </si>
  <si>
    <t>924 0707 0130188310  852  291</t>
  </si>
  <si>
    <t>925 0709 0140280200  852 291</t>
  </si>
  <si>
    <t>925 0709 0140280200  853 291</t>
  </si>
  <si>
    <t>925 0709 0140280200  852 290</t>
  </si>
  <si>
    <t>925 0709 0140280200  853 292</t>
  </si>
  <si>
    <t>925 0709 0140280200  244 290</t>
  </si>
  <si>
    <t>924 01 13  01403 78240 244 221</t>
  </si>
  <si>
    <t>925 0709 0140270100  244 225</t>
  </si>
  <si>
    <t>924 0703  0110220540244 310</t>
  </si>
  <si>
    <t>924 0702 01102 00590 244 227</t>
  </si>
  <si>
    <t>924 07 07 011 05S8410 244 227</t>
  </si>
  <si>
    <t>924 01 13  01403 78240242 352</t>
  </si>
  <si>
    <t>925 0709 0140280200  244 227</t>
  </si>
  <si>
    <t>925 0709 0140280200  242 352</t>
  </si>
  <si>
    <t>№ 1003 от 28 декабря   2018г</t>
  </si>
  <si>
    <t>№ 1003 от 28  декабря  2018г</t>
  </si>
  <si>
    <t xml:space="preserve">Муниципальная программа Нижнедевицкого муниципального района на 2018 -2023гг "Развитие образования"
</t>
  </si>
  <si>
    <t>Основное мероприятие 4. 7</t>
  </si>
  <si>
    <t>Основное мероприятие 4.8</t>
  </si>
  <si>
    <t xml:space="preserve">Муниципальная программа Нижнедевицкого муниципального района на 2018 -2023гг "Развитие образования"
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</si>
</sst>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#,##0.0000"/>
    <numFmt numFmtId="166" formatCode="0.000"/>
    <numFmt numFmtId="167" formatCode="0.000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trike/>
      <sz val="12"/>
      <name val="Calibri"/>
      <family val="2"/>
      <charset val="204"/>
    </font>
    <font>
      <strike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6" fillId="0" borderId="0" xfId="1" applyFont="1"/>
    <xf numFmtId="0" fontId="4" fillId="0" borderId="0" xfId="1" applyFont="1" applyAlignment="1"/>
    <xf numFmtId="0" fontId="5" fillId="0" borderId="0" xfId="0" applyFont="1"/>
    <xf numFmtId="0" fontId="7" fillId="0" borderId="1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" fontId="3" fillId="0" borderId="2" xfId="1" applyNumberFormat="1" applyFont="1" applyFill="1" applyBorder="1" applyAlignment="1">
      <alignment horizontal="right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10" fillId="2" borderId="2" xfId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wrapText="1"/>
    </xf>
    <xf numFmtId="0" fontId="3" fillId="5" borderId="2" xfId="1" applyFont="1" applyFill="1" applyBorder="1" applyAlignment="1">
      <alignment wrapText="1"/>
    </xf>
    <xf numFmtId="49" fontId="3" fillId="4" borderId="2" xfId="0" applyNumberFormat="1" applyFont="1" applyFill="1" applyBorder="1" applyAlignment="1">
      <alignment horizontal="center" vertical="center" wrapText="1"/>
    </xf>
    <xf numFmtId="3" fontId="3" fillId="4" borderId="2" xfId="1" applyNumberFormat="1" applyFont="1" applyFill="1" applyBorder="1" applyAlignment="1">
      <alignment horizontal="center" wrapText="1"/>
    </xf>
    <xf numFmtId="0" fontId="3" fillId="6" borderId="2" xfId="1" applyFont="1" applyFill="1" applyBorder="1" applyAlignment="1">
      <alignment wrapText="1"/>
    </xf>
    <xf numFmtId="0" fontId="8" fillId="4" borderId="2" xfId="1" applyFont="1" applyFill="1" applyBorder="1" applyAlignment="1">
      <alignment vertical="center" wrapText="1"/>
    </xf>
    <xf numFmtId="0" fontId="8" fillId="6" borderId="2" xfId="1" applyFont="1" applyFill="1" applyBorder="1" applyAlignment="1">
      <alignment vertical="center" wrapText="1"/>
    </xf>
    <xf numFmtId="4" fontId="3" fillId="2" borderId="2" xfId="1" applyNumberFormat="1" applyFont="1" applyFill="1" applyBorder="1" applyAlignment="1">
      <alignment wrapText="1"/>
    </xf>
    <xf numFmtId="4" fontId="0" fillId="0" borderId="0" xfId="0" applyNumberFormat="1"/>
    <xf numFmtId="0" fontId="3" fillId="2" borderId="7" xfId="1" applyFont="1" applyFill="1" applyBorder="1" applyAlignment="1">
      <alignment wrapText="1"/>
    </xf>
    <xf numFmtId="0" fontId="7" fillId="0" borderId="0" xfId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0" fillId="0" borderId="2" xfId="0" applyNumberFormat="1" applyBorder="1"/>
    <xf numFmtId="2" fontId="0" fillId="0" borderId="2" xfId="0" applyNumberFormat="1" applyBorder="1"/>
    <xf numFmtId="4" fontId="3" fillId="0" borderId="2" xfId="1" applyNumberFormat="1" applyFont="1" applyFill="1" applyBorder="1" applyAlignment="1">
      <alignment wrapText="1"/>
    </xf>
    <xf numFmtId="165" fontId="0" fillId="0" borderId="0" xfId="0" applyNumberFormat="1"/>
    <xf numFmtId="164" fontId="3" fillId="2" borderId="2" xfId="1" applyNumberFormat="1" applyFont="1" applyFill="1" applyBorder="1" applyAlignment="1">
      <alignment wrapText="1"/>
    </xf>
    <xf numFmtId="166" fontId="3" fillId="0" borderId="2" xfId="1" applyNumberFormat="1" applyFont="1" applyFill="1" applyBorder="1" applyAlignment="1">
      <alignment horizontal="right" wrapText="1"/>
    </xf>
    <xf numFmtId="0" fontId="11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66" fontId="3" fillId="6" borderId="2" xfId="1" applyNumberFormat="1" applyFont="1" applyFill="1" applyBorder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3" fillId="7" borderId="2" xfId="1" applyFont="1" applyFill="1" applyBorder="1" applyAlignment="1">
      <alignment wrapText="1"/>
    </xf>
    <xf numFmtId="0" fontId="3" fillId="0" borderId="2" xfId="1" applyFont="1" applyBorder="1" applyAlignment="1">
      <alignment horizontal="center" vertical="center"/>
    </xf>
    <xf numFmtId="0" fontId="3" fillId="2" borderId="3" xfId="1" applyFont="1" applyFill="1" applyBorder="1" applyAlignment="1">
      <alignment wrapText="1"/>
    </xf>
    <xf numFmtId="166" fontId="8" fillId="7" borderId="2" xfId="1" applyNumberFormat="1" applyFont="1" applyFill="1" applyBorder="1" applyAlignment="1">
      <alignment horizontal="right" wrapText="1"/>
    </xf>
    <xf numFmtId="166" fontId="8" fillId="6" borderId="2" xfId="1" applyNumberFormat="1" applyFont="1" applyFill="1" applyBorder="1" applyAlignment="1">
      <alignment horizontal="right" wrapText="1"/>
    </xf>
    <xf numFmtId="166" fontId="8" fillId="0" borderId="2" xfId="1" applyNumberFormat="1" applyFont="1" applyFill="1" applyBorder="1" applyAlignment="1">
      <alignment horizontal="right" wrapText="1"/>
    </xf>
    <xf numFmtId="166" fontId="3" fillId="4" borderId="2" xfId="1" applyNumberFormat="1" applyFont="1" applyFill="1" applyBorder="1" applyAlignment="1">
      <alignment horizontal="right" wrapText="1"/>
    </xf>
    <xf numFmtId="166" fontId="3" fillId="5" borderId="2" xfId="1" applyNumberFormat="1" applyFont="1" applyFill="1" applyBorder="1" applyAlignment="1">
      <alignment horizontal="right" wrapText="1"/>
    </xf>
    <xf numFmtId="166" fontId="3" fillId="0" borderId="2" xfId="1" applyNumberFormat="1" applyFont="1" applyBorder="1" applyAlignment="1">
      <alignment horizontal="right" wrapText="1"/>
    </xf>
    <xf numFmtId="166" fontId="9" fillId="0" borderId="2" xfId="1" applyNumberFormat="1" applyFont="1" applyFill="1" applyBorder="1" applyAlignment="1">
      <alignment horizontal="right" wrapText="1"/>
    </xf>
    <xf numFmtId="166" fontId="3" fillId="0" borderId="2" xfId="1" applyNumberFormat="1" applyFont="1" applyFill="1" applyBorder="1" applyAlignment="1">
      <alignment horizontal="right" vertical="center" wrapText="1"/>
    </xf>
    <xf numFmtId="0" fontId="15" fillId="0" borderId="0" xfId="0" applyFont="1"/>
    <xf numFmtId="4" fontId="15" fillId="0" borderId="0" xfId="0" applyNumberFormat="1" applyFont="1"/>
    <xf numFmtId="0" fontId="14" fillId="0" borderId="0" xfId="0" applyFont="1"/>
    <xf numFmtId="4" fontId="2" fillId="0" borderId="0" xfId="1" applyNumberFormat="1" applyFont="1"/>
    <xf numFmtId="4" fontId="4" fillId="0" borderId="0" xfId="1" applyNumberFormat="1" applyFont="1"/>
    <xf numFmtId="4" fontId="2" fillId="0" borderId="0" xfId="1" applyNumberFormat="1" applyFont="1" applyAlignment="1">
      <alignment horizont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left" vertical="top" wrapText="1"/>
    </xf>
    <xf numFmtId="166" fontId="0" fillId="0" borderId="0" xfId="0" applyNumberFormat="1"/>
    <xf numFmtId="166" fontId="8" fillId="0" borderId="2" xfId="1" applyNumberFormat="1" applyFont="1" applyBorder="1" applyAlignment="1">
      <alignment horizontal="right" wrapText="1"/>
    </xf>
    <xf numFmtId="0" fontId="3" fillId="4" borderId="2" xfId="1" applyFont="1" applyFill="1" applyBorder="1" applyAlignment="1">
      <alignment horizontal="left" wrapText="1"/>
    </xf>
    <xf numFmtId="0" fontId="0" fillId="0" borderId="2" xfId="0" applyBorder="1" applyAlignment="1">
      <alignment horizontal="left"/>
    </xf>
    <xf numFmtId="166" fontId="8" fillId="0" borderId="2" xfId="1" applyNumberFormat="1" applyFont="1" applyFill="1" applyBorder="1" applyAlignment="1">
      <alignment horizontal="right" vertical="center" wrapText="1"/>
    </xf>
    <xf numFmtId="166" fontId="10" fillId="0" borderId="2" xfId="1" applyNumberFormat="1" applyFont="1" applyFill="1" applyBorder="1" applyAlignment="1">
      <alignment horizontal="right" vertical="center" wrapText="1"/>
    </xf>
    <xf numFmtId="166" fontId="0" fillId="0" borderId="2" xfId="0" applyNumberFormat="1" applyFill="1" applyBorder="1" applyAlignment="1">
      <alignment horizontal="right"/>
    </xf>
    <xf numFmtId="166" fontId="3" fillId="4" borderId="2" xfId="1" applyNumberFormat="1" applyFont="1" applyFill="1" applyBorder="1" applyAlignment="1">
      <alignment horizontal="right" vertical="center" wrapText="1"/>
    </xf>
    <xf numFmtId="166" fontId="14" fillId="0" borderId="2" xfId="0" applyNumberFormat="1" applyFont="1" applyFill="1" applyBorder="1" applyAlignment="1">
      <alignment horizontal="right"/>
    </xf>
    <xf numFmtId="166" fontId="3" fillId="6" borderId="2" xfId="1" applyNumberFormat="1" applyFont="1" applyFill="1" applyBorder="1" applyAlignment="1">
      <alignment horizontal="right" vertical="center" wrapText="1"/>
    </xf>
    <xf numFmtId="166" fontId="0" fillId="0" borderId="2" xfId="0" applyNumberFormat="1" applyBorder="1" applyAlignment="1">
      <alignment horizontal="right"/>
    </xf>
    <xf numFmtId="0" fontId="0" fillId="0" borderId="1" xfId="0" applyBorder="1" applyAlignment="1"/>
    <xf numFmtId="0" fontId="0" fillId="0" borderId="0" xfId="0" applyBorder="1" applyAlignment="1"/>
    <xf numFmtId="0" fontId="3" fillId="0" borderId="2" xfId="1" applyFont="1" applyBorder="1" applyAlignment="1">
      <alignment horizontal="left" vertical="top" wrapText="1"/>
    </xf>
    <xf numFmtId="0" fontId="3" fillId="0" borderId="2" xfId="1" applyFont="1" applyFill="1" applyBorder="1" applyAlignment="1">
      <alignment horizontal="left" vertical="top" wrapText="1"/>
    </xf>
    <xf numFmtId="0" fontId="0" fillId="0" borderId="5" xfId="0" applyBorder="1" applyAlignment="1">
      <alignment wrapText="1"/>
    </xf>
    <xf numFmtId="0" fontId="10" fillId="2" borderId="4" xfId="1" applyFont="1" applyFill="1" applyBorder="1" applyAlignment="1">
      <alignment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wrapText="1"/>
    </xf>
    <xf numFmtId="167" fontId="3" fillId="0" borderId="2" xfId="1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1" applyFont="1" applyBorder="1" applyAlignment="1">
      <alignment horizontal="center" vertical="center" wrapText="1"/>
    </xf>
    <xf numFmtId="0" fontId="0" fillId="0" borderId="0" xfId="0" applyAlignment="1"/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4" fontId="3" fillId="0" borderId="2" xfId="1" applyNumberFormat="1" applyFont="1" applyBorder="1" applyAlignment="1">
      <alignment horizontal="center" vertical="center" wrapText="1"/>
    </xf>
    <xf numFmtId="0" fontId="0" fillId="0" borderId="2" xfId="0" applyBorder="1" applyAlignment="1"/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2" xfId="1" applyFont="1" applyBorder="1" applyAlignment="1">
      <alignment horizontal="left" vertical="top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4" xfId="1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2" xfId="1" applyFont="1" applyBorder="1" applyAlignment="1">
      <alignment horizontal="center" vertical="top" wrapText="1"/>
    </xf>
    <xf numFmtId="0" fontId="3" fillId="2" borderId="3" xfId="1" applyFont="1" applyFill="1" applyBorder="1" applyAlignment="1">
      <alignment horizontal="left" vertical="top" wrapText="1"/>
    </xf>
    <xf numFmtId="0" fontId="3" fillId="2" borderId="4" xfId="1" applyFont="1" applyFill="1" applyBorder="1" applyAlignment="1">
      <alignment horizontal="left" vertical="top" wrapText="1"/>
    </xf>
    <xf numFmtId="0" fontId="9" fillId="0" borderId="3" xfId="1" applyFont="1" applyBorder="1" applyAlignment="1">
      <alignment horizontal="left" vertical="top" wrapText="1"/>
    </xf>
    <xf numFmtId="0" fontId="9" fillId="0" borderId="4" xfId="1" applyFont="1" applyBorder="1" applyAlignment="1">
      <alignment horizontal="left" vertical="top" wrapText="1"/>
    </xf>
    <xf numFmtId="0" fontId="9" fillId="2" borderId="3" xfId="1" applyFont="1" applyFill="1" applyBorder="1" applyAlignment="1">
      <alignment horizontal="left" vertical="top" wrapText="1"/>
    </xf>
    <xf numFmtId="0" fontId="9" fillId="2" borderId="4" xfId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9" fillId="0" borderId="2" xfId="1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2" borderId="2" xfId="1" applyFont="1" applyFill="1" applyBorder="1" applyAlignment="1">
      <alignment horizontal="left" vertical="top" wrapText="1"/>
    </xf>
    <xf numFmtId="0" fontId="3" fillId="2" borderId="3" xfId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2" borderId="3" xfId="1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3" fillId="2" borderId="4" xfId="1" applyFont="1" applyFill="1" applyBorder="1" applyAlignment="1">
      <alignment wrapText="1"/>
    </xf>
    <xf numFmtId="0" fontId="3" fillId="0" borderId="3" xfId="1" applyFont="1" applyFill="1" applyBorder="1" applyAlignment="1">
      <alignment wrapText="1"/>
    </xf>
    <xf numFmtId="0" fontId="3" fillId="0" borderId="4" xfId="1" applyFont="1" applyFill="1" applyBorder="1" applyAlignment="1">
      <alignment wrapText="1"/>
    </xf>
    <xf numFmtId="0" fontId="0" fillId="0" borderId="6" xfId="0" applyBorder="1" applyAlignment="1"/>
    <xf numFmtId="0" fontId="0" fillId="0" borderId="8" xfId="0" applyBorder="1" applyAlignment="1"/>
    <xf numFmtId="0" fontId="3" fillId="2" borderId="5" xfId="1" applyFont="1" applyFill="1" applyBorder="1" applyAlignment="1">
      <alignment wrapText="1"/>
    </xf>
    <xf numFmtId="0" fontId="3" fillId="0" borderId="5" xfId="1" applyFont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19&#1043;/&#1073;&#1102;&#1076;&#1078;&#1077;&#1090;&#1085;&#1072;&#1103;%20%20&#1088;&#1086;&#1089;&#1087;&#1080;&#1089;&#1100;%202019%20-%20&#1082;&#1086;&#1087;&#1080;&#1103;/&#1073;&#1102;&#1076;&#1078;&#1077;&#1090;%20&#1087;&#1086;%20&#1076;&#1086;&#1096;%20&#1091;&#1095;&#1088;&#1077;&#1078;&#1076;&#1077;&#1085;&#1080;&#1103;&#108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19&#1043;/&#1073;&#1102;&#1076;&#1078;&#1077;&#1090;&#1085;&#1072;&#1103;%20%20&#1088;&#1086;&#1089;&#1087;&#1080;&#1089;&#1100;%202019%20-%20&#1082;&#1086;&#1087;&#1080;&#1103;/&#1073;&#1102;&#1076;&#1078;&#1077;&#1090;%20&#1087;&#1086;%20&#1044;&#1054;%20&#1076;&#1086;&#1084;%20&#1087;&#1080;&#1086;&#1085;&#1077;&#1088;&#1086;&#107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19&#1043;/&#1073;&#1102;&#1076;&#1078;&#1077;&#1090;&#1085;&#1072;&#1103;%20%20&#1088;&#1086;&#1089;&#1087;&#1080;&#1089;&#1100;%202019%20-%20&#1082;&#1086;&#1087;&#1080;&#1103;/&#1050;&#1085;&#1080;&#1075;&#1072;1%20&#1086;&#1090;&#1076;&#1077;&#108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4 квар "/>
      <sheetName val="3квар"/>
      <sheetName val="2 квар"/>
      <sheetName val="1 кв"/>
      <sheetName val="2019"/>
    </sheetNames>
    <sheetDataSet>
      <sheetData sheetId="0" refreshError="1"/>
      <sheetData sheetId="1">
        <row r="35">
          <cell r="M35">
            <v>4732800</v>
          </cell>
        </row>
        <row r="36">
          <cell r="M36">
            <v>1162200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17"/>
      <sheetName val="годовая "/>
    </sheetNames>
    <sheetDataSet>
      <sheetData sheetId="0" refreshError="1"/>
      <sheetData sheetId="1">
        <row r="24">
          <cell r="M24">
            <v>2955000</v>
          </cell>
        </row>
        <row r="25">
          <cell r="M25">
            <v>1002000</v>
          </cell>
        </row>
        <row r="26">
          <cell r="M26">
            <v>43000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019"/>
    </sheetNames>
    <sheetDataSet>
      <sheetData sheetId="0">
        <row r="24">
          <cell r="M24">
            <v>498000</v>
          </cell>
        </row>
        <row r="25">
          <cell r="M25">
            <v>151000</v>
          </cell>
        </row>
        <row r="26">
          <cell r="M26">
            <v>20000</v>
          </cell>
        </row>
        <row r="36">
          <cell r="M36">
            <v>1294000</v>
          </cell>
        </row>
        <row r="37">
          <cell r="M37">
            <v>376000</v>
          </cell>
        </row>
        <row r="40">
          <cell r="M40">
            <v>3692000</v>
          </cell>
        </row>
        <row r="41">
          <cell r="M41">
            <v>1071000</v>
          </cell>
        </row>
        <row r="42">
          <cell r="M42">
            <v>80000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5"/>
  <sheetViews>
    <sheetView topLeftCell="A34" workbookViewId="0">
      <selection activeCell="J15" sqref="J15"/>
    </sheetView>
  </sheetViews>
  <sheetFormatPr defaultRowHeight="15"/>
  <cols>
    <col min="1" max="1" width="21.28515625" customWidth="1"/>
    <col min="2" max="2" width="36.28515625" customWidth="1"/>
    <col min="3" max="3" width="20" customWidth="1"/>
    <col min="4" max="4" width="15.5703125" customWidth="1"/>
    <col min="5" max="5" width="15.85546875" customWidth="1"/>
    <col min="6" max="6" width="14.7109375" customWidth="1"/>
    <col min="7" max="7" width="15" customWidth="1"/>
    <col min="8" max="8" width="11.7109375" customWidth="1"/>
    <col min="9" max="9" width="12.140625" customWidth="1"/>
  </cols>
  <sheetData>
    <row r="1" spans="1:9" ht="15.75">
      <c r="A1" s="1"/>
      <c r="B1" s="1"/>
      <c r="C1" s="1"/>
      <c r="D1" s="2"/>
      <c r="E1" s="77" t="s">
        <v>58</v>
      </c>
      <c r="F1" s="77"/>
      <c r="G1" s="51"/>
      <c r="H1" s="51"/>
      <c r="I1" s="51"/>
    </row>
    <row r="2" spans="1:9" ht="15.75">
      <c r="A2" s="1"/>
      <c r="B2" s="1"/>
      <c r="C2" s="1"/>
      <c r="D2" s="52" t="s">
        <v>60</v>
      </c>
      <c r="E2" s="52"/>
      <c r="F2" s="52"/>
      <c r="G2" s="51"/>
      <c r="H2" s="51"/>
      <c r="I2" s="51"/>
    </row>
    <row r="3" spans="1:9" ht="15.75">
      <c r="A3" s="1"/>
      <c r="B3" s="1"/>
      <c r="C3" s="1"/>
      <c r="D3" s="53"/>
      <c r="E3" s="54" t="s">
        <v>181</v>
      </c>
      <c r="F3" s="53"/>
      <c r="G3" s="51"/>
      <c r="H3" s="51"/>
      <c r="I3" s="51"/>
    </row>
    <row r="4" spans="1:9" ht="15.75">
      <c r="A4" s="1"/>
      <c r="B4" s="1"/>
      <c r="C4" s="1"/>
      <c r="D4" s="53"/>
      <c r="E4" s="53"/>
      <c r="F4" s="53"/>
      <c r="G4" s="51"/>
      <c r="H4" s="51"/>
      <c r="I4" s="51"/>
    </row>
    <row r="5" spans="1:9" ht="61.5" customHeight="1">
      <c r="A5" s="78" t="s">
        <v>129</v>
      </c>
      <c r="B5" s="78"/>
      <c r="C5" s="78"/>
      <c r="D5" s="78"/>
      <c r="E5" s="78"/>
      <c r="F5" s="78"/>
      <c r="G5" s="79"/>
      <c r="H5" s="79"/>
      <c r="I5" s="79"/>
    </row>
    <row r="6" spans="1:9">
      <c r="A6" s="4"/>
      <c r="B6" s="4"/>
      <c r="C6" s="4"/>
      <c r="D6" s="24"/>
      <c r="E6" s="24"/>
      <c r="F6" s="24"/>
    </row>
    <row r="7" spans="1:9" ht="15" customHeight="1">
      <c r="A7" s="80" t="s">
        <v>0</v>
      </c>
      <c r="B7" s="81" t="s">
        <v>1</v>
      </c>
      <c r="C7" s="82" t="s">
        <v>2</v>
      </c>
      <c r="D7" s="83" t="s">
        <v>3</v>
      </c>
      <c r="E7" s="84"/>
      <c r="F7" s="84"/>
      <c r="G7" s="84"/>
      <c r="H7" s="84"/>
      <c r="I7" s="84"/>
    </row>
    <row r="8" spans="1:9" ht="126.75" customHeight="1">
      <c r="A8" s="80"/>
      <c r="B8" s="81"/>
      <c r="C8" s="82"/>
      <c r="D8" s="37" t="s">
        <v>77</v>
      </c>
      <c r="E8" s="37" t="s">
        <v>78</v>
      </c>
      <c r="F8" s="25" t="s">
        <v>79</v>
      </c>
      <c r="G8" s="25" t="s">
        <v>80</v>
      </c>
      <c r="H8" s="25" t="s">
        <v>81</v>
      </c>
      <c r="I8" s="25" t="s">
        <v>82</v>
      </c>
    </row>
    <row r="9" spans="1:9">
      <c r="A9" s="55">
        <v>1</v>
      </c>
      <c r="B9" s="55">
        <v>2</v>
      </c>
      <c r="C9" s="5">
        <v>3</v>
      </c>
      <c r="D9" s="5">
        <v>5</v>
      </c>
      <c r="E9" s="55">
        <v>6</v>
      </c>
      <c r="F9" s="5">
        <v>7</v>
      </c>
      <c r="G9" s="55">
        <v>8</v>
      </c>
      <c r="H9" s="55">
        <v>9</v>
      </c>
      <c r="I9" s="5">
        <v>10</v>
      </c>
    </row>
    <row r="10" spans="1:9">
      <c r="A10" s="85" t="s">
        <v>4</v>
      </c>
      <c r="B10" s="85" t="s">
        <v>186</v>
      </c>
      <c r="C10" s="32" t="s">
        <v>49</v>
      </c>
      <c r="D10" s="41">
        <f t="shared" ref="D10:I10" si="0">D11+D12+D13+D14</f>
        <v>214288.524</v>
      </c>
      <c r="E10" s="41">
        <f t="shared" si="0"/>
        <v>199448.5</v>
      </c>
      <c r="F10" s="41">
        <f t="shared" si="0"/>
        <v>185776.2</v>
      </c>
      <c r="G10" s="41">
        <f t="shared" si="0"/>
        <v>193176.7</v>
      </c>
      <c r="H10" s="41">
        <f t="shared" si="0"/>
        <v>196196.09600000002</v>
      </c>
      <c r="I10" s="41">
        <f t="shared" si="0"/>
        <v>196196.09600000002</v>
      </c>
    </row>
    <row r="11" spans="1:9">
      <c r="A11" s="86"/>
      <c r="B11" s="86"/>
      <c r="C11" s="33" t="s">
        <v>50</v>
      </c>
      <c r="D11" s="58">
        <f t="shared" ref="D11:I14" si="1">D16+D46+D56+D66</f>
        <v>365.9</v>
      </c>
      <c r="E11" s="58">
        <f t="shared" si="1"/>
        <v>378.7</v>
      </c>
      <c r="F11" s="58">
        <f t="shared" si="1"/>
        <v>356.7</v>
      </c>
      <c r="G11" s="58">
        <f t="shared" si="1"/>
        <v>351.6</v>
      </c>
      <c r="H11" s="58">
        <f t="shared" si="1"/>
        <v>536.20000000000005</v>
      </c>
      <c r="I11" s="58">
        <f t="shared" si="1"/>
        <v>536.20000000000005</v>
      </c>
    </row>
    <row r="12" spans="1:9" ht="31.5" customHeight="1">
      <c r="A12" s="86"/>
      <c r="B12" s="86"/>
      <c r="C12" s="34" t="s">
        <v>51</v>
      </c>
      <c r="D12" s="58">
        <f t="shared" si="1"/>
        <v>134847.00700000001</v>
      </c>
      <c r="E12" s="58">
        <f t="shared" si="1"/>
        <v>133332.79999999999</v>
      </c>
      <c r="F12" s="58">
        <f t="shared" si="1"/>
        <v>139671.5</v>
      </c>
      <c r="G12" s="58">
        <f t="shared" si="1"/>
        <v>146075.1</v>
      </c>
      <c r="H12" s="58">
        <f t="shared" si="1"/>
        <v>144263.508</v>
      </c>
      <c r="I12" s="58">
        <f t="shared" si="1"/>
        <v>144263.508</v>
      </c>
    </row>
    <row r="13" spans="1:9" ht="30.75" customHeight="1">
      <c r="A13" s="87"/>
      <c r="B13" s="87"/>
      <c r="C13" s="34" t="s">
        <v>52</v>
      </c>
      <c r="D13" s="58">
        <f t="shared" si="1"/>
        <v>78165.616999999998</v>
      </c>
      <c r="E13" s="58">
        <f t="shared" si="1"/>
        <v>65737</v>
      </c>
      <c r="F13" s="58">
        <f t="shared" si="1"/>
        <v>45748</v>
      </c>
      <c r="G13" s="58">
        <f t="shared" si="1"/>
        <v>46750</v>
      </c>
      <c r="H13" s="58">
        <f t="shared" si="1"/>
        <v>51396.387999999999</v>
      </c>
      <c r="I13" s="58">
        <f t="shared" si="1"/>
        <v>51396.387999999999</v>
      </c>
    </row>
    <row r="14" spans="1:9" ht="21" customHeight="1">
      <c r="A14" s="88"/>
      <c r="B14" s="88"/>
      <c r="C14" s="35" t="s">
        <v>53</v>
      </c>
      <c r="D14" s="58">
        <f t="shared" si="1"/>
        <v>910</v>
      </c>
      <c r="E14" s="58">
        <f t="shared" si="1"/>
        <v>0</v>
      </c>
      <c r="F14" s="58">
        <f t="shared" si="1"/>
        <v>0</v>
      </c>
      <c r="G14" s="58">
        <f t="shared" si="1"/>
        <v>0</v>
      </c>
      <c r="H14" s="58">
        <f t="shared" si="1"/>
        <v>0</v>
      </c>
      <c r="I14" s="58">
        <f t="shared" si="1"/>
        <v>0</v>
      </c>
    </row>
    <row r="15" spans="1:9">
      <c r="A15" s="89" t="s">
        <v>8</v>
      </c>
      <c r="B15" s="89" t="s">
        <v>75</v>
      </c>
      <c r="C15" s="32" t="s">
        <v>49</v>
      </c>
      <c r="D15" s="42">
        <f t="shared" ref="D15:I15" si="2">D16+D17+D18+D19</f>
        <v>175364.1122</v>
      </c>
      <c r="E15" s="42">
        <f t="shared" si="2"/>
        <v>162715.79999999999</v>
      </c>
      <c r="F15" s="42">
        <f t="shared" si="2"/>
        <v>150719.5</v>
      </c>
      <c r="G15" s="42">
        <f t="shared" si="2"/>
        <v>158775.1</v>
      </c>
      <c r="H15" s="42">
        <f t="shared" si="2"/>
        <v>160485.68900000001</v>
      </c>
      <c r="I15" s="42">
        <f t="shared" si="2"/>
        <v>160485.68900000001</v>
      </c>
    </row>
    <row r="16" spans="1:9">
      <c r="A16" s="89"/>
      <c r="B16" s="89"/>
      <c r="C16" s="33" t="s">
        <v>50</v>
      </c>
      <c r="D16" s="43">
        <f t="shared" ref="D16:I19" si="3">D21+D31+D36+D41+D26</f>
        <v>0</v>
      </c>
      <c r="E16" s="43">
        <f t="shared" si="3"/>
        <v>0</v>
      </c>
      <c r="F16" s="43">
        <f t="shared" si="3"/>
        <v>0</v>
      </c>
      <c r="G16" s="43">
        <f t="shared" si="3"/>
        <v>0</v>
      </c>
      <c r="H16" s="43">
        <f t="shared" si="3"/>
        <v>0</v>
      </c>
      <c r="I16" s="43">
        <f t="shared" si="3"/>
        <v>0</v>
      </c>
    </row>
    <row r="17" spans="1:9">
      <c r="A17" s="89"/>
      <c r="B17" s="89"/>
      <c r="C17" s="34" t="s">
        <v>51</v>
      </c>
      <c r="D17" s="43">
        <f t="shared" si="3"/>
        <v>118425</v>
      </c>
      <c r="E17" s="43">
        <f t="shared" si="3"/>
        <v>119978.79999999999</v>
      </c>
      <c r="F17" s="43">
        <f t="shared" si="3"/>
        <v>126468.5</v>
      </c>
      <c r="G17" s="43">
        <f t="shared" si="3"/>
        <v>133522.1</v>
      </c>
      <c r="H17" s="43">
        <f t="shared" si="3"/>
        <v>128768.508</v>
      </c>
      <c r="I17" s="43">
        <f t="shared" si="3"/>
        <v>128768.508</v>
      </c>
    </row>
    <row r="18" spans="1:9">
      <c r="A18" s="89"/>
      <c r="B18" s="89"/>
      <c r="C18" s="34" t="s">
        <v>52</v>
      </c>
      <c r="D18" s="43">
        <f t="shared" si="3"/>
        <v>56139.112200000003</v>
      </c>
      <c r="E18" s="43">
        <f t="shared" si="3"/>
        <v>42737</v>
      </c>
      <c r="F18" s="43">
        <f t="shared" si="3"/>
        <v>24251</v>
      </c>
      <c r="G18" s="43">
        <f t="shared" si="3"/>
        <v>25253</v>
      </c>
      <c r="H18" s="43">
        <f t="shared" si="3"/>
        <v>31717.181</v>
      </c>
      <c r="I18" s="43">
        <f t="shared" si="3"/>
        <v>31717.181</v>
      </c>
    </row>
    <row r="19" spans="1:9">
      <c r="A19" s="89"/>
      <c r="B19" s="89"/>
      <c r="C19" s="35" t="s">
        <v>53</v>
      </c>
      <c r="D19" s="43">
        <f t="shared" si="3"/>
        <v>800</v>
      </c>
      <c r="E19" s="43">
        <f t="shared" si="3"/>
        <v>0</v>
      </c>
      <c r="F19" s="43">
        <f t="shared" si="3"/>
        <v>0</v>
      </c>
      <c r="G19" s="43">
        <f t="shared" si="3"/>
        <v>0</v>
      </c>
      <c r="H19" s="43">
        <f t="shared" si="3"/>
        <v>0</v>
      </c>
      <c r="I19" s="43">
        <f t="shared" si="3"/>
        <v>0</v>
      </c>
    </row>
    <row r="20" spans="1:9">
      <c r="A20" s="85" t="s">
        <v>9</v>
      </c>
      <c r="B20" s="90" t="s">
        <v>16</v>
      </c>
      <c r="C20" s="32" t="s">
        <v>49</v>
      </c>
      <c r="D20" s="44">
        <f t="shared" ref="D20:I20" si="4">D22+D23+D24</f>
        <v>12893.7</v>
      </c>
      <c r="E20" s="44">
        <f t="shared" si="4"/>
        <v>13393.7</v>
      </c>
      <c r="F20" s="44">
        <f t="shared" si="4"/>
        <v>14127.4</v>
      </c>
      <c r="G20" s="44">
        <f t="shared" si="4"/>
        <v>14945.6</v>
      </c>
      <c r="H20" s="44">
        <f t="shared" si="4"/>
        <v>12479.975</v>
      </c>
      <c r="I20" s="44">
        <f t="shared" si="4"/>
        <v>12479.975</v>
      </c>
    </row>
    <row r="21" spans="1:9">
      <c r="A21" s="86"/>
      <c r="B21" s="91"/>
      <c r="C21" s="33" t="s">
        <v>50</v>
      </c>
      <c r="D21" s="31"/>
      <c r="E21" s="31"/>
      <c r="F21" s="31"/>
      <c r="G21" s="31"/>
      <c r="H21" s="31"/>
      <c r="I21" s="31"/>
    </row>
    <row r="22" spans="1:9" ht="21.75" customHeight="1">
      <c r="A22" s="86"/>
      <c r="B22" s="91"/>
      <c r="C22" s="34" t="s">
        <v>51</v>
      </c>
      <c r="D22" s="31">
        <v>12893.7</v>
      </c>
      <c r="E22" s="31">
        <v>13393.7</v>
      </c>
      <c r="F22" s="31">
        <v>14127.4</v>
      </c>
      <c r="G22" s="31">
        <v>14945.6</v>
      </c>
      <c r="H22" s="31">
        <v>12479.975</v>
      </c>
      <c r="I22" s="31">
        <v>12479.975</v>
      </c>
    </row>
    <row r="23" spans="1:9" ht="15" customHeight="1">
      <c r="A23" s="86"/>
      <c r="B23" s="91"/>
      <c r="C23" s="34" t="s">
        <v>52</v>
      </c>
      <c r="D23" s="31"/>
      <c r="E23" s="31"/>
      <c r="F23" s="31"/>
      <c r="G23" s="31"/>
      <c r="H23" s="31"/>
      <c r="I23" s="31"/>
    </row>
    <row r="24" spans="1:9" ht="39" customHeight="1">
      <c r="A24" s="86"/>
      <c r="B24" s="91"/>
      <c r="C24" s="35" t="s">
        <v>53</v>
      </c>
      <c r="D24" s="31"/>
      <c r="E24" s="31"/>
      <c r="F24" s="31"/>
      <c r="G24" s="31"/>
      <c r="H24" s="31"/>
      <c r="I24" s="31"/>
    </row>
    <row r="25" spans="1:9">
      <c r="A25" s="85" t="s">
        <v>55</v>
      </c>
      <c r="B25" s="85" t="s">
        <v>17</v>
      </c>
      <c r="C25" s="32" t="s">
        <v>49</v>
      </c>
      <c r="D25" s="44">
        <f t="shared" ref="D25:I25" si="5">D26+D27</f>
        <v>102190.39999999999</v>
      </c>
      <c r="E25" s="44">
        <f t="shared" si="5"/>
        <v>104990.39999999999</v>
      </c>
      <c r="F25" s="44">
        <f t="shared" si="5"/>
        <v>111023.2</v>
      </c>
      <c r="G25" s="44">
        <f t="shared" si="5"/>
        <v>117222.3</v>
      </c>
      <c r="H25" s="44">
        <f t="shared" si="5"/>
        <v>115047.633</v>
      </c>
      <c r="I25" s="44">
        <f t="shared" si="5"/>
        <v>115047.633</v>
      </c>
    </row>
    <row r="26" spans="1:9">
      <c r="A26" s="86"/>
      <c r="B26" s="86"/>
      <c r="C26" s="33" t="s">
        <v>50</v>
      </c>
      <c r="D26" s="63"/>
      <c r="E26" s="63"/>
      <c r="F26" s="63"/>
      <c r="G26" s="63"/>
      <c r="H26" s="63"/>
      <c r="I26" s="63"/>
    </row>
    <row r="27" spans="1:9">
      <c r="A27" s="86"/>
      <c r="B27" s="86"/>
      <c r="C27" s="34" t="s">
        <v>51</v>
      </c>
      <c r="D27" s="63">
        <v>102190.39999999999</v>
      </c>
      <c r="E27" s="63">
        <v>104990.39999999999</v>
      </c>
      <c r="F27" s="63">
        <v>111023.2</v>
      </c>
      <c r="G27" s="63">
        <v>117222.3</v>
      </c>
      <c r="H27" s="63">
        <v>115047.633</v>
      </c>
      <c r="I27" s="63">
        <v>115047.633</v>
      </c>
    </row>
    <row r="28" spans="1:9" ht="21" customHeight="1">
      <c r="A28" s="86"/>
      <c r="B28" s="86"/>
      <c r="C28" s="34" t="s">
        <v>52</v>
      </c>
      <c r="D28" s="63"/>
      <c r="E28" s="63"/>
      <c r="F28" s="63"/>
      <c r="G28" s="63"/>
      <c r="H28" s="63"/>
      <c r="I28" s="63"/>
    </row>
    <row r="29" spans="1:9" ht="15.75" customHeight="1">
      <c r="A29" s="86"/>
      <c r="B29" s="86"/>
      <c r="C29" s="35" t="s">
        <v>53</v>
      </c>
      <c r="D29" s="63"/>
      <c r="E29" s="63"/>
      <c r="F29" s="63"/>
      <c r="G29" s="63"/>
      <c r="H29" s="63"/>
      <c r="I29" s="63"/>
    </row>
    <row r="30" spans="1:9" ht="30.75" customHeight="1">
      <c r="A30" s="89" t="s">
        <v>56</v>
      </c>
      <c r="B30" s="89" t="s">
        <v>18</v>
      </c>
      <c r="C30" s="32" t="s">
        <v>49</v>
      </c>
      <c r="D30" s="44">
        <f t="shared" ref="D30:I30" si="6">D31+D32+D33+D34</f>
        <v>1111.5999999999999</v>
      </c>
      <c r="E30" s="44">
        <f t="shared" si="6"/>
        <v>1100</v>
      </c>
      <c r="F30" s="44">
        <f t="shared" si="6"/>
        <v>964</v>
      </c>
      <c r="G30" s="44">
        <f t="shared" si="6"/>
        <v>996</v>
      </c>
      <c r="H30" s="44">
        <f t="shared" si="6"/>
        <v>902</v>
      </c>
      <c r="I30" s="44">
        <f t="shared" si="6"/>
        <v>902</v>
      </c>
    </row>
    <row r="31" spans="1:9" ht="22.5" customHeight="1">
      <c r="A31" s="89"/>
      <c r="B31" s="89"/>
      <c r="C31" s="33" t="s">
        <v>50</v>
      </c>
      <c r="D31" s="63"/>
      <c r="E31" s="63"/>
      <c r="F31" s="31"/>
      <c r="G31" s="63"/>
      <c r="H31" s="63"/>
      <c r="I31" s="63"/>
    </row>
    <row r="32" spans="1:9" ht="22.5" customHeight="1">
      <c r="A32" s="89"/>
      <c r="B32" s="89"/>
      <c r="C32" s="34" t="s">
        <v>51</v>
      </c>
      <c r="D32" s="63">
        <v>555.79999999999995</v>
      </c>
      <c r="E32" s="63">
        <v>436</v>
      </c>
      <c r="F32" s="31">
        <v>410</v>
      </c>
      <c r="G32" s="63">
        <v>440</v>
      </c>
      <c r="H32" s="63">
        <v>451</v>
      </c>
      <c r="I32" s="63">
        <v>451</v>
      </c>
    </row>
    <row r="33" spans="1:9" ht="22.5" customHeight="1">
      <c r="A33" s="89"/>
      <c r="B33" s="89"/>
      <c r="C33" s="34" t="s">
        <v>52</v>
      </c>
      <c r="D33" s="63">
        <v>555.79999999999995</v>
      </c>
      <c r="E33" s="63">
        <v>664</v>
      </c>
      <c r="F33" s="31">
        <v>554</v>
      </c>
      <c r="G33" s="63">
        <v>556</v>
      </c>
      <c r="H33" s="63">
        <v>451</v>
      </c>
      <c r="I33" s="63">
        <v>451</v>
      </c>
    </row>
    <row r="34" spans="1:9" ht="14.25" customHeight="1">
      <c r="A34" s="89"/>
      <c r="B34" s="89"/>
      <c r="C34" s="35" t="s">
        <v>53</v>
      </c>
      <c r="D34" s="63"/>
      <c r="E34" s="63"/>
      <c r="F34" s="31"/>
      <c r="G34" s="63"/>
      <c r="H34" s="63"/>
      <c r="I34" s="63"/>
    </row>
    <row r="35" spans="1:9" ht="23.25" customHeight="1">
      <c r="A35" s="87" t="s">
        <v>20</v>
      </c>
      <c r="B35" s="85" t="s">
        <v>44</v>
      </c>
      <c r="C35" s="32" t="s">
        <v>49</v>
      </c>
      <c r="D35" s="45">
        <f t="shared" ref="D35:I35" si="7">D36+D37+D38+D39</f>
        <v>58236.697</v>
      </c>
      <c r="E35" s="45">
        <f t="shared" si="7"/>
        <v>41948</v>
      </c>
      <c r="F35" s="45">
        <f t="shared" si="7"/>
        <v>23572</v>
      </c>
      <c r="G35" s="45">
        <f t="shared" si="7"/>
        <v>24572</v>
      </c>
      <c r="H35" s="45">
        <f t="shared" si="7"/>
        <v>31146.181</v>
      </c>
      <c r="I35" s="45">
        <f t="shared" si="7"/>
        <v>31146.181</v>
      </c>
    </row>
    <row r="36" spans="1:9" ht="22.5" customHeight="1">
      <c r="A36" s="87"/>
      <c r="B36" s="86"/>
      <c r="C36" s="33" t="s">
        <v>50</v>
      </c>
      <c r="D36" s="31"/>
      <c r="E36" s="31"/>
      <c r="F36" s="31"/>
      <c r="G36" s="31"/>
      <c r="H36" s="31"/>
      <c r="I36" s="31"/>
    </row>
    <row r="37" spans="1:9" ht="22.5" customHeight="1">
      <c r="A37" s="87"/>
      <c r="B37" s="86"/>
      <c r="C37" s="34" t="s">
        <v>51</v>
      </c>
      <c r="D37" s="31">
        <f>100+1150+375+400+25+50</f>
        <v>2100</v>
      </c>
      <c r="E37" s="31">
        <v>100</v>
      </c>
      <c r="F37" s="31">
        <v>100</v>
      </c>
      <c r="G37" s="31">
        <v>100</v>
      </c>
      <c r="H37" s="31">
        <v>100</v>
      </c>
      <c r="I37" s="31">
        <v>100</v>
      </c>
    </row>
    <row r="38" spans="1:9" ht="22.5" customHeight="1">
      <c r="A38" s="87"/>
      <c r="B38" s="86"/>
      <c r="C38" s="34" t="s">
        <v>52</v>
      </c>
      <c r="D38" s="31">
        <f>55336.608+0.089</f>
        <v>55336.697</v>
      </c>
      <c r="E38" s="31">
        <f>'приложение 2'!F41+'приложение 2'!F65-100</f>
        <v>41848</v>
      </c>
      <c r="F38" s="31">
        <f>'приложение 2'!G41+'приложение 2'!G65-100</f>
        <v>23472</v>
      </c>
      <c r="G38" s="31">
        <f>'приложение 2'!H65+'приложение 2'!H41-100</f>
        <v>24472</v>
      </c>
      <c r="H38" s="31">
        <v>31046.181</v>
      </c>
      <c r="I38" s="31">
        <v>31046.181</v>
      </c>
    </row>
    <row r="39" spans="1:9" ht="17.25" customHeight="1">
      <c r="A39" s="87"/>
      <c r="B39" s="86"/>
      <c r="C39" s="35" t="s">
        <v>53</v>
      </c>
      <c r="D39" s="31">
        <v>800</v>
      </c>
      <c r="E39" s="31"/>
      <c r="F39" s="31"/>
      <c r="G39" s="31"/>
      <c r="H39" s="31"/>
      <c r="I39" s="31"/>
    </row>
    <row r="40" spans="1:9" ht="21" customHeight="1">
      <c r="A40" s="92" t="s">
        <v>21</v>
      </c>
      <c r="B40" s="89" t="s">
        <v>22</v>
      </c>
      <c r="C40" s="32" t="s">
        <v>49</v>
      </c>
      <c r="D40" s="64">
        <f t="shared" ref="D40:I40" si="8">D41+D42+D43+D44</f>
        <v>931.71519999999998</v>
      </c>
      <c r="E40" s="64">
        <f t="shared" si="8"/>
        <v>1283.7</v>
      </c>
      <c r="F40" s="64">
        <f t="shared" si="8"/>
        <v>1032.9000000000001</v>
      </c>
      <c r="G40" s="64">
        <f t="shared" si="8"/>
        <v>1039.2</v>
      </c>
      <c r="H40" s="64">
        <f t="shared" si="8"/>
        <v>909.9</v>
      </c>
      <c r="I40" s="64">
        <f t="shared" si="8"/>
        <v>909.9</v>
      </c>
    </row>
    <row r="41" spans="1:9" ht="30" customHeight="1">
      <c r="A41" s="92"/>
      <c r="B41" s="89"/>
      <c r="C41" s="33" t="s">
        <v>50</v>
      </c>
      <c r="D41" s="63"/>
      <c r="E41" s="63"/>
      <c r="F41" s="48"/>
      <c r="G41" s="63"/>
      <c r="H41" s="63"/>
      <c r="I41" s="63"/>
    </row>
    <row r="42" spans="1:9" ht="21" customHeight="1">
      <c r="A42" s="92"/>
      <c r="B42" s="89"/>
      <c r="C42" s="34" t="s">
        <v>51</v>
      </c>
      <c r="D42" s="48">
        <v>685.1</v>
      </c>
      <c r="E42" s="48">
        <f>768.7+190+100</f>
        <v>1058.7</v>
      </c>
      <c r="F42" s="48">
        <f>514.9+190+103</f>
        <v>807.9</v>
      </c>
      <c r="G42" s="48">
        <f>517.2+190+107</f>
        <v>814.2</v>
      </c>
      <c r="H42" s="48">
        <v>689.9</v>
      </c>
      <c r="I42" s="48">
        <v>689.9</v>
      </c>
    </row>
    <row r="43" spans="1:9" ht="21" customHeight="1">
      <c r="A43" s="92"/>
      <c r="B43" s="89"/>
      <c r="C43" s="34" t="s">
        <v>52</v>
      </c>
      <c r="D43" s="65">
        <v>246.61519999999999</v>
      </c>
      <c r="E43" s="65">
        <v>225</v>
      </c>
      <c r="F43" s="65">
        <v>225</v>
      </c>
      <c r="G43" s="65">
        <v>225</v>
      </c>
      <c r="H43" s="65">
        <v>220</v>
      </c>
      <c r="I43" s="65">
        <v>220</v>
      </c>
    </row>
    <row r="44" spans="1:9" ht="21" customHeight="1">
      <c r="A44" s="92"/>
      <c r="B44" s="89"/>
      <c r="C44" s="35" t="s">
        <v>53</v>
      </c>
      <c r="D44" s="48"/>
      <c r="E44" s="48"/>
      <c r="F44" s="48"/>
      <c r="G44" s="48"/>
      <c r="H44" s="48"/>
      <c r="I44" s="48"/>
    </row>
    <row r="45" spans="1:9">
      <c r="A45" s="89" t="s">
        <v>10</v>
      </c>
      <c r="B45" s="89" t="s">
        <v>76</v>
      </c>
      <c r="C45" s="32" t="s">
        <v>49</v>
      </c>
      <c r="D45" s="36">
        <f t="shared" ref="D45:I45" si="9">D46+D47+D48+D49</f>
        <v>14275.527</v>
      </c>
      <c r="E45" s="36">
        <f t="shared" si="9"/>
        <v>13918</v>
      </c>
      <c r="F45" s="36">
        <f t="shared" si="9"/>
        <v>13659</v>
      </c>
      <c r="G45" s="36">
        <f t="shared" si="9"/>
        <v>13659</v>
      </c>
      <c r="H45" s="36">
        <f t="shared" si="9"/>
        <v>11984.7</v>
      </c>
      <c r="I45" s="36">
        <f t="shared" si="9"/>
        <v>11984.7</v>
      </c>
    </row>
    <row r="46" spans="1:9">
      <c r="A46" s="89"/>
      <c r="B46" s="89"/>
      <c r="C46" s="33" t="s">
        <v>50</v>
      </c>
      <c r="D46" s="31">
        <f t="shared" ref="D46:E49" si="10">D51</f>
        <v>0</v>
      </c>
      <c r="E46" s="31">
        <f t="shared" si="10"/>
        <v>0</v>
      </c>
      <c r="F46" s="31">
        <f t="shared" ref="F46:I49" si="11">F51</f>
        <v>0</v>
      </c>
      <c r="G46" s="31">
        <f t="shared" si="11"/>
        <v>0</v>
      </c>
      <c r="H46" s="31">
        <f t="shared" si="11"/>
        <v>0</v>
      </c>
      <c r="I46" s="31">
        <f t="shared" si="11"/>
        <v>0</v>
      </c>
    </row>
    <row r="47" spans="1:9">
      <c r="A47" s="89"/>
      <c r="B47" s="89"/>
      <c r="C47" s="34" t="s">
        <v>51</v>
      </c>
      <c r="D47" s="31">
        <f t="shared" si="10"/>
        <v>666.40700000000004</v>
      </c>
      <c r="E47" s="31">
        <f t="shared" si="10"/>
        <v>0</v>
      </c>
      <c r="F47" s="31">
        <f t="shared" si="11"/>
        <v>0</v>
      </c>
      <c r="G47" s="31">
        <f t="shared" si="11"/>
        <v>0</v>
      </c>
      <c r="H47" s="31">
        <f t="shared" si="11"/>
        <v>0</v>
      </c>
      <c r="I47" s="31">
        <f t="shared" si="11"/>
        <v>0</v>
      </c>
    </row>
    <row r="48" spans="1:9">
      <c r="A48" s="56"/>
      <c r="B48" s="56"/>
      <c r="C48" s="34" t="s">
        <v>52</v>
      </c>
      <c r="D48" s="31">
        <v>13499.12</v>
      </c>
      <c r="E48" s="31">
        <f t="shared" si="10"/>
        <v>13918</v>
      </c>
      <c r="F48" s="31">
        <f t="shared" si="11"/>
        <v>13659</v>
      </c>
      <c r="G48" s="31">
        <f t="shared" si="11"/>
        <v>13659</v>
      </c>
      <c r="H48" s="31">
        <f t="shared" si="11"/>
        <v>11984.7</v>
      </c>
      <c r="I48" s="31">
        <f t="shared" si="11"/>
        <v>11984.7</v>
      </c>
    </row>
    <row r="49" spans="1:9">
      <c r="A49" s="56"/>
      <c r="B49" s="56"/>
      <c r="C49" s="35" t="s">
        <v>53</v>
      </c>
      <c r="D49" s="31">
        <f t="shared" si="10"/>
        <v>110</v>
      </c>
      <c r="E49" s="31">
        <f t="shared" si="10"/>
        <v>0</v>
      </c>
      <c r="F49" s="31">
        <f t="shared" si="11"/>
        <v>0</v>
      </c>
      <c r="G49" s="31">
        <f t="shared" si="11"/>
        <v>0</v>
      </c>
      <c r="H49" s="31">
        <f t="shared" si="11"/>
        <v>0</v>
      </c>
      <c r="I49" s="31">
        <f t="shared" si="11"/>
        <v>0</v>
      </c>
    </row>
    <row r="50" spans="1:9" ht="32.25" customHeight="1">
      <c r="A50" s="85" t="s">
        <v>26</v>
      </c>
      <c r="B50" s="85" t="s">
        <v>25</v>
      </c>
      <c r="C50" s="32" t="s">
        <v>49</v>
      </c>
      <c r="D50" s="31">
        <f t="shared" ref="D50:I50" si="12">D51+D52+D53+D54</f>
        <v>14165.527999999998</v>
      </c>
      <c r="E50" s="31">
        <f t="shared" si="12"/>
        <v>13918</v>
      </c>
      <c r="F50" s="31">
        <f t="shared" si="12"/>
        <v>13659</v>
      </c>
      <c r="G50" s="31">
        <f t="shared" si="12"/>
        <v>13659</v>
      </c>
      <c r="H50" s="31">
        <f t="shared" si="12"/>
        <v>11984.7</v>
      </c>
      <c r="I50" s="31">
        <f t="shared" si="12"/>
        <v>11984.7</v>
      </c>
    </row>
    <row r="51" spans="1:9" ht="30" customHeight="1">
      <c r="A51" s="93"/>
      <c r="B51" s="86"/>
      <c r="C51" s="33" t="s">
        <v>50</v>
      </c>
      <c r="D51" s="63"/>
      <c r="E51" s="63"/>
      <c r="F51" s="31"/>
      <c r="G51" s="63"/>
      <c r="H51" s="63"/>
      <c r="I51" s="63"/>
    </row>
    <row r="52" spans="1:9" ht="30" customHeight="1">
      <c r="A52" s="93"/>
      <c r="B52" s="86"/>
      <c r="C52" s="34" t="s">
        <v>51</v>
      </c>
      <c r="D52" s="63">
        <f>626.407+40</f>
        <v>666.40700000000004</v>
      </c>
      <c r="E52" s="63"/>
      <c r="F52" s="31"/>
      <c r="G52" s="63"/>
      <c r="H52" s="63"/>
      <c r="I52" s="63"/>
    </row>
    <row r="53" spans="1:9" ht="36.75" customHeight="1">
      <c r="A53" s="93"/>
      <c r="B53" s="86"/>
      <c r="C53" s="34" t="s">
        <v>52</v>
      </c>
      <c r="D53" s="63">
        <f>13499.121-110</f>
        <v>13389.120999999999</v>
      </c>
      <c r="E53" s="63">
        <v>13918</v>
      </c>
      <c r="F53" s="31">
        <v>13659</v>
      </c>
      <c r="G53" s="31">
        <v>13659</v>
      </c>
      <c r="H53" s="31">
        <v>11984.7</v>
      </c>
      <c r="I53" s="31">
        <v>11984.7</v>
      </c>
    </row>
    <row r="54" spans="1:9" ht="19.5" customHeight="1">
      <c r="A54" s="93"/>
      <c r="B54" s="86"/>
      <c r="C54" s="35" t="s">
        <v>53</v>
      </c>
      <c r="D54" s="31">
        <v>110</v>
      </c>
      <c r="E54" s="31"/>
      <c r="F54" s="31"/>
      <c r="G54" s="31"/>
      <c r="H54" s="31"/>
      <c r="I54" s="31"/>
    </row>
    <row r="55" spans="1:9" ht="21.75" customHeight="1">
      <c r="A55" s="85" t="s">
        <v>14</v>
      </c>
      <c r="B55" s="85" t="s">
        <v>47</v>
      </c>
      <c r="C55" s="32" t="s">
        <v>49</v>
      </c>
      <c r="D55" s="66">
        <f t="shared" ref="D55:I55" si="13">D56+D57+D58+D59</f>
        <v>393.38479999999998</v>
      </c>
      <c r="E55" s="66">
        <f t="shared" si="13"/>
        <v>405</v>
      </c>
      <c r="F55" s="66">
        <f t="shared" si="13"/>
        <v>405</v>
      </c>
      <c r="G55" s="66">
        <f t="shared" si="13"/>
        <v>405</v>
      </c>
      <c r="H55" s="66">
        <f t="shared" si="13"/>
        <v>405</v>
      </c>
      <c r="I55" s="66">
        <f t="shared" si="13"/>
        <v>405</v>
      </c>
    </row>
    <row r="56" spans="1:9" ht="18.75" customHeight="1">
      <c r="A56" s="86"/>
      <c r="B56" s="86"/>
      <c r="C56" s="33" t="s">
        <v>50</v>
      </c>
      <c r="D56" s="48">
        <f t="shared" ref="D56:I56" si="14">D61</f>
        <v>0</v>
      </c>
      <c r="E56" s="48">
        <f t="shared" si="14"/>
        <v>0</v>
      </c>
      <c r="F56" s="48">
        <f t="shared" si="14"/>
        <v>0</v>
      </c>
      <c r="G56" s="48">
        <f t="shared" si="14"/>
        <v>0</v>
      </c>
      <c r="H56" s="48">
        <f t="shared" si="14"/>
        <v>0</v>
      </c>
      <c r="I56" s="48">
        <f t="shared" si="14"/>
        <v>0</v>
      </c>
    </row>
    <row r="57" spans="1:9" ht="19.5" customHeight="1">
      <c r="A57" s="86"/>
      <c r="B57" s="86"/>
      <c r="C57" s="34" t="s">
        <v>51</v>
      </c>
      <c r="D57" s="48">
        <f t="shared" ref="D57:E59" si="15">D62</f>
        <v>0</v>
      </c>
      <c r="E57" s="48">
        <f t="shared" si="15"/>
        <v>0</v>
      </c>
      <c r="F57" s="48">
        <f t="shared" ref="F57:I59" si="16">F62</f>
        <v>0</v>
      </c>
      <c r="G57" s="48">
        <f t="shared" si="16"/>
        <v>0</v>
      </c>
      <c r="H57" s="48">
        <f t="shared" si="16"/>
        <v>0</v>
      </c>
      <c r="I57" s="48">
        <f t="shared" si="16"/>
        <v>0</v>
      </c>
    </row>
    <row r="58" spans="1:9" ht="16.5" customHeight="1">
      <c r="A58" s="86"/>
      <c r="B58" s="86"/>
      <c r="C58" s="34" t="s">
        <v>52</v>
      </c>
      <c r="D58" s="48">
        <f t="shared" si="15"/>
        <v>393.38479999999998</v>
      </c>
      <c r="E58" s="48">
        <f t="shared" si="15"/>
        <v>405</v>
      </c>
      <c r="F58" s="48">
        <f t="shared" si="16"/>
        <v>405</v>
      </c>
      <c r="G58" s="48">
        <f t="shared" si="16"/>
        <v>405</v>
      </c>
      <c r="H58" s="48">
        <f t="shared" si="16"/>
        <v>405</v>
      </c>
      <c r="I58" s="48">
        <f t="shared" si="16"/>
        <v>405</v>
      </c>
    </row>
    <row r="59" spans="1:9" ht="31.5" customHeight="1">
      <c r="A59" s="88"/>
      <c r="B59" s="88"/>
      <c r="C59" s="35" t="s">
        <v>53</v>
      </c>
      <c r="D59" s="48">
        <f t="shared" si="15"/>
        <v>0</v>
      </c>
      <c r="E59" s="48">
        <f t="shared" si="15"/>
        <v>0</v>
      </c>
      <c r="F59" s="48">
        <f t="shared" si="16"/>
        <v>0</v>
      </c>
      <c r="G59" s="48">
        <f t="shared" si="16"/>
        <v>0</v>
      </c>
      <c r="H59" s="48">
        <f t="shared" si="16"/>
        <v>0</v>
      </c>
      <c r="I59" s="48">
        <f t="shared" si="16"/>
        <v>0</v>
      </c>
    </row>
    <row r="60" spans="1:9" ht="19.5" customHeight="1">
      <c r="A60" s="90" t="s">
        <v>30</v>
      </c>
      <c r="B60" s="85" t="s">
        <v>13</v>
      </c>
      <c r="C60" s="32" t="s">
        <v>49</v>
      </c>
      <c r="D60" s="48">
        <f t="shared" ref="D60:I60" si="17">D61+D62+D63+D64</f>
        <v>393.38479999999998</v>
      </c>
      <c r="E60" s="48">
        <f t="shared" si="17"/>
        <v>405</v>
      </c>
      <c r="F60" s="48">
        <f t="shared" si="17"/>
        <v>405</v>
      </c>
      <c r="G60" s="48">
        <f t="shared" si="17"/>
        <v>405</v>
      </c>
      <c r="H60" s="48">
        <f t="shared" si="17"/>
        <v>405</v>
      </c>
      <c r="I60" s="48">
        <f t="shared" si="17"/>
        <v>405</v>
      </c>
    </row>
    <row r="61" spans="1:9" ht="26.25" customHeight="1">
      <c r="A61" s="91"/>
      <c r="B61" s="86"/>
      <c r="C61" s="33" t="s">
        <v>50</v>
      </c>
      <c r="D61" s="63"/>
      <c r="E61" s="63"/>
      <c r="F61" s="48"/>
      <c r="G61" s="63"/>
      <c r="H61" s="63"/>
      <c r="I61" s="63"/>
    </row>
    <row r="62" spans="1:9" ht="19.5" customHeight="1">
      <c r="A62" s="91"/>
      <c r="B62" s="86"/>
      <c r="C62" s="34" t="s">
        <v>51</v>
      </c>
      <c r="D62" s="63"/>
      <c r="E62" s="63"/>
      <c r="F62" s="62"/>
      <c r="G62" s="63"/>
      <c r="H62" s="63"/>
      <c r="I62" s="63"/>
    </row>
    <row r="63" spans="1:9" ht="19.5" customHeight="1">
      <c r="A63" s="91"/>
      <c r="B63" s="86"/>
      <c r="C63" s="34" t="s">
        <v>52</v>
      </c>
      <c r="D63" s="48">
        <v>393.38479999999998</v>
      </c>
      <c r="E63" s="48">
        <v>405</v>
      </c>
      <c r="F63" s="48">
        <v>405</v>
      </c>
      <c r="G63" s="48">
        <v>405</v>
      </c>
      <c r="H63" s="48">
        <v>405</v>
      </c>
      <c r="I63" s="48">
        <v>405</v>
      </c>
    </row>
    <row r="64" spans="1:9" ht="19.5" customHeight="1">
      <c r="A64" s="91"/>
      <c r="B64" s="86"/>
      <c r="C64" s="35" t="s">
        <v>54</v>
      </c>
      <c r="D64" s="63"/>
      <c r="E64" s="63"/>
      <c r="F64" s="62"/>
      <c r="G64" s="63"/>
      <c r="H64" s="63"/>
      <c r="I64" s="63"/>
    </row>
    <row r="65" spans="1:9">
      <c r="A65" s="89" t="s">
        <v>42</v>
      </c>
      <c r="B65" s="85" t="s">
        <v>43</v>
      </c>
      <c r="C65" s="32" t="s">
        <v>49</v>
      </c>
      <c r="D65" s="36">
        <f t="shared" ref="D65:I65" si="18">D66+D67+D68+D69</f>
        <v>24255.5</v>
      </c>
      <c r="E65" s="36">
        <f t="shared" si="18"/>
        <v>22409.7</v>
      </c>
      <c r="F65" s="36">
        <f t="shared" si="18"/>
        <v>20992.7</v>
      </c>
      <c r="G65" s="36">
        <f t="shared" si="18"/>
        <v>20337.599999999999</v>
      </c>
      <c r="H65" s="36">
        <f t="shared" si="18"/>
        <v>23320.707000000002</v>
      </c>
      <c r="I65" s="36">
        <f t="shared" si="18"/>
        <v>23320.707000000002</v>
      </c>
    </row>
    <row r="66" spans="1:9">
      <c r="A66" s="89"/>
      <c r="B66" s="86"/>
      <c r="C66" s="33" t="s">
        <v>50</v>
      </c>
      <c r="D66" s="31">
        <f t="shared" ref="D66:I69" si="19">D71+D76+D81+D86+D91+D96+D101+D106</f>
        <v>365.9</v>
      </c>
      <c r="E66" s="31">
        <f t="shared" si="19"/>
        <v>378.7</v>
      </c>
      <c r="F66" s="31">
        <f t="shared" si="19"/>
        <v>356.7</v>
      </c>
      <c r="G66" s="31">
        <f t="shared" si="19"/>
        <v>351.6</v>
      </c>
      <c r="H66" s="31">
        <f t="shared" si="19"/>
        <v>536.20000000000005</v>
      </c>
      <c r="I66" s="31">
        <f t="shared" si="19"/>
        <v>536.20000000000005</v>
      </c>
    </row>
    <row r="67" spans="1:9">
      <c r="A67" s="89"/>
      <c r="B67" s="86"/>
      <c r="C67" s="34" t="s">
        <v>51</v>
      </c>
      <c r="D67" s="31">
        <f t="shared" si="19"/>
        <v>15755.6</v>
      </c>
      <c r="E67" s="31">
        <f t="shared" si="19"/>
        <v>13354</v>
      </c>
      <c r="F67" s="31">
        <f t="shared" si="19"/>
        <v>13203</v>
      </c>
      <c r="G67" s="31">
        <f t="shared" si="19"/>
        <v>12553</v>
      </c>
      <c r="H67" s="31">
        <f t="shared" si="19"/>
        <v>15495</v>
      </c>
      <c r="I67" s="31">
        <f t="shared" si="19"/>
        <v>15495</v>
      </c>
    </row>
    <row r="68" spans="1:9">
      <c r="A68" s="89"/>
      <c r="B68" s="86"/>
      <c r="C68" s="34" t="s">
        <v>52</v>
      </c>
      <c r="D68" s="31">
        <f t="shared" si="19"/>
        <v>8134</v>
      </c>
      <c r="E68" s="31">
        <f t="shared" si="19"/>
        <v>8677</v>
      </c>
      <c r="F68" s="31">
        <f t="shared" si="19"/>
        <v>7433</v>
      </c>
      <c r="G68" s="31">
        <f t="shared" si="19"/>
        <v>7433</v>
      </c>
      <c r="H68" s="31">
        <f t="shared" si="19"/>
        <v>7289.5069999999996</v>
      </c>
      <c r="I68" s="31">
        <f t="shared" si="19"/>
        <v>7289.5069999999996</v>
      </c>
    </row>
    <row r="69" spans="1:9" ht="25.5">
      <c r="A69" s="89"/>
      <c r="B69" s="120"/>
      <c r="C69" s="35" t="s">
        <v>54</v>
      </c>
      <c r="D69" s="31">
        <f t="shared" si="19"/>
        <v>0</v>
      </c>
      <c r="E69" s="31">
        <f t="shared" si="19"/>
        <v>0</v>
      </c>
      <c r="F69" s="31">
        <f t="shared" si="19"/>
        <v>0</v>
      </c>
      <c r="G69" s="31">
        <f t="shared" si="19"/>
        <v>0</v>
      </c>
      <c r="H69" s="31">
        <f t="shared" si="19"/>
        <v>0</v>
      </c>
      <c r="I69" s="31">
        <f t="shared" si="19"/>
        <v>0</v>
      </c>
    </row>
    <row r="70" spans="1:9">
      <c r="A70" s="85" t="s">
        <v>27</v>
      </c>
      <c r="B70" s="95" t="s">
        <v>45</v>
      </c>
      <c r="C70" s="32" t="s">
        <v>49</v>
      </c>
      <c r="D70" s="31">
        <f t="shared" ref="D70:I70" si="20">D71+D72+D73+D74</f>
        <v>9310.2000000000007</v>
      </c>
      <c r="E70" s="31">
        <f t="shared" si="20"/>
        <v>7007</v>
      </c>
      <c r="F70" s="31">
        <f t="shared" si="20"/>
        <v>5763</v>
      </c>
      <c r="G70" s="31">
        <f t="shared" si="20"/>
        <v>5763</v>
      </c>
      <c r="H70" s="31">
        <f t="shared" si="20"/>
        <v>5733.9380000000001</v>
      </c>
      <c r="I70" s="31">
        <f t="shared" si="20"/>
        <v>5733.9380000000001</v>
      </c>
    </row>
    <row r="71" spans="1:9">
      <c r="A71" s="86"/>
      <c r="B71" s="96"/>
      <c r="C71" s="33" t="s">
        <v>50</v>
      </c>
      <c r="D71" s="31"/>
      <c r="E71" s="31"/>
      <c r="F71" s="31"/>
      <c r="G71" s="31"/>
      <c r="H71" s="31"/>
      <c r="I71" s="31"/>
    </row>
    <row r="72" spans="1:9" ht="20.25" customHeight="1">
      <c r="A72" s="86"/>
      <c r="B72" s="96"/>
      <c r="C72" s="34" t="s">
        <v>51</v>
      </c>
      <c r="D72" s="31">
        <v>2692.2</v>
      </c>
      <c r="E72" s="31"/>
      <c r="F72" s="31"/>
      <c r="G72" s="31"/>
      <c r="H72" s="31"/>
      <c r="I72" s="31"/>
    </row>
    <row r="73" spans="1:9" ht="20.25" customHeight="1">
      <c r="A73" s="87"/>
      <c r="B73" s="87"/>
      <c r="C73" s="34" t="s">
        <v>52</v>
      </c>
      <c r="D73" s="31">
        <f>8134-1516</f>
        <v>6618</v>
      </c>
      <c r="E73" s="31">
        <v>7007</v>
      </c>
      <c r="F73" s="31">
        <v>5763</v>
      </c>
      <c r="G73" s="31">
        <v>5763</v>
      </c>
      <c r="H73" s="31">
        <v>5733.9380000000001</v>
      </c>
      <c r="I73" s="31">
        <v>5733.9380000000001</v>
      </c>
    </row>
    <row r="74" spans="1:9" ht="21.75" customHeight="1">
      <c r="A74" s="87"/>
      <c r="B74" s="87"/>
      <c r="C74" s="35" t="s">
        <v>54</v>
      </c>
      <c r="D74" s="31"/>
      <c r="E74" s="31"/>
      <c r="F74" s="31"/>
      <c r="G74" s="31"/>
      <c r="H74" s="31"/>
      <c r="I74" s="31"/>
    </row>
    <row r="75" spans="1:9">
      <c r="A75" s="97" t="s">
        <v>28</v>
      </c>
      <c r="B75" s="99" t="s">
        <v>23</v>
      </c>
      <c r="C75" s="32" t="s">
        <v>49</v>
      </c>
      <c r="D75" s="36">
        <f t="shared" ref="D75:I75" si="21">D76+D77+D78+D79</f>
        <v>1516</v>
      </c>
      <c r="E75" s="36">
        <f t="shared" si="21"/>
        <v>1670</v>
      </c>
      <c r="F75" s="36">
        <f t="shared" si="21"/>
        <v>1670</v>
      </c>
      <c r="G75" s="36">
        <f t="shared" si="21"/>
        <v>1670</v>
      </c>
      <c r="H75" s="36">
        <f t="shared" si="21"/>
        <v>1555.569</v>
      </c>
      <c r="I75" s="36">
        <f t="shared" si="21"/>
        <v>1555.569</v>
      </c>
    </row>
    <row r="76" spans="1:9">
      <c r="A76" s="98"/>
      <c r="B76" s="100"/>
      <c r="C76" s="33" t="s">
        <v>50</v>
      </c>
      <c r="D76" s="67"/>
      <c r="E76" s="67"/>
      <c r="F76" s="46"/>
      <c r="G76" s="67"/>
      <c r="H76" s="67"/>
      <c r="I76" s="67"/>
    </row>
    <row r="77" spans="1:9" ht="16.5" customHeight="1">
      <c r="A77" s="98"/>
      <c r="B77" s="100"/>
      <c r="C77" s="34" t="s">
        <v>51</v>
      </c>
      <c r="D77" s="47"/>
      <c r="E77" s="47"/>
      <c r="F77" s="47"/>
      <c r="G77" s="47"/>
      <c r="H77" s="47"/>
      <c r="I77" s="47"/>
    </row>
    <row r="78" spans="1:9" ht="21" customHeight="1">
      <c r="A78" s="87"/>
      <c r="B78" s="87"/>
      <c r="C78" s="34" t="s">
        <v>52</v>
      </c>
      <c r="D78" s="48">
        <f>1091.8+424.2</f>
        <v>1516</v>
      </c>
      <c r="E78" s="48">
        <v>1670</v>
      </c>
      <c r="F78" s="48">
        <v>1670</v>
      </c>
      <c r="G78" s="48">
        <v>1670</v>
      </c>
      <c r="H78" s="48">
        <v>1555.569</v>
      </c>
      <c r="I78" s="48">
        <v>1555.569</v>
      </c>
    </row>
    <row r="79" spans="1:9" ht="14.25" customHeight="1">
      <c r="A79" s="87"/>
      <c r="B79" s="87"/>
      <c r="C79" s="35" t="s">
        <v>54</v>
      </c>
      <c r="D79" s="48"/>
      <c r="E79" s="48"/>
      <c r="F79" s="48"/>
      <c r="G79" s="48"/>
      <c r="H79" s="48"/>
      <c r="I79" s="48"/>
    </row>
    <row r="80" spans="1:9" ht="23.25" customHeight="1">
      <c r="A80" s="97" t="s">
        <v>31</v>
      </c>
      <c r="B80" s="99" t="s">
        <v>46</v>
      </c>
      <c r="C80" s="32" t="s">
        <v>49</v>
      </c>
      <c r="D80" s="44">
        <f t="shared" ref="D80:I80" si="22">D81+D82+D83+D84</f>
        <v>792</v>
      </c>
      <c r="E80" s="44">
        <f t="shared" si="22"/>
        <v>791</v>
      </c>
      <c r="F80" s="44">
        <f t="shared" si="22"/>
        <v>810</v>
      </c>
      <c r="G80" s="44">
        <f t="shared" si="22"/>
        <v>810</v>
      </c>
      <c r="H80" s="44">
        <f t="shared" si="22"/>
        <v>852</v>
      </c>
      <c r="I80" s="44">
        <f t="shared" si="22"/>
        <v>852</v>
      </c>
    </row>
    <row r="81" spans="1:9" ht="16.5" customHeight="1">
      <c r="A81" s="87"/>
      <c r="B81" s="87"/>
      <c r="C81" s="33" t="s">
        <v>50</v>
      </c>
      <c r="D81" s="46"/>
      <c r="E81" s="46"/>
      <c r="F81" s="46"/>
      <c r="G81" s="46"/>
      <c r="H81" s="46"/>
      <c r="I81" s="46"/>
    </row>
    <row r="82" spans="1:9" ht="17.25" customHeight="1">
      <c r="A82" s="87"/>
      <c r="B82" s="87"/>
      <c r="C82" s="34" t="s">
        <v>51</v>
      </c>
      <c r="D82" s="47">
        <v>792</v>
      </c>
      <c r="E82" s="47">
        <v>791</v>
      </c>
      <c r="F82" s="47">
        <v>810</v>
      </c>
      <c r="G82" s="47">
        <v>810</v>
      </c>
      <c r="H82" s="47">
        <v>852</v>
      </c>
      <c r="I82" s="47">
        <v>852</v>
      </c>
    </row>
    <row r="83" spans="1:9" ht="12.75" customHeight="1">
      <c r="A83" s="87"/>
      <c r="B83" s="87"/>
      <c r="C83" s="34" t="s">
        <v>52</v>
      </c>
      <c r="D83" s="48"/>
      <c r="E83" s="48"/>
      <c r="F83" s="48"/>
      <c r="G83" s="48"/>
      <c r="H83" s="48"/>
      <c r="I83" s="48"/>
    </row>
    <row r="84" spans="1:9" ht="25.5" customHeight="1">
      <c r="A84" s="87"/>
      <c r="B84" s="87"/>
      <c r="C84" s="35" t="s">
        <v>54</v>
      </c>
      <c r="D84" s="48"/>
      <c r="E84" s="48"/>
      <c r="F84" s="48"/>
      <c r="G84" s="48"/>
      <c r="H84" s="48"/>
      <c r="I84" s="48"/>
    </row>
    <row r="85" spans="1:9" ht="23.25" customHeight="1">
      <c r="A85" s="105" t="s">
        <v>33</v>
      </c>
      <c r="B85" s="107" t="s">
        <v>32</v>
      </c>
      <c r="C85" s="32" t="s">
        <v>49</v>
      </c>
      <c r="D85" s="44">
        <f t="shared" ref="D85:I85" si="23">D87</f>
        <v>3865.5</v>
      </c>
      <c r="E85" s="44">
        <f t="shared" si="23"/>
        <v>0</v>
      </c>
      <c r="F85" s="44">
        <f t="shared" si="23"/>
        <v>0</v>
      </c>
      <c r="G85" s="44">
        <f t="shared" si="23"/>
        <v>0</v>
      </c>
      <c r="H85" s="44">
        <f t="shared" si="23"/>
        <v>5412</v>
      </c>
      <c r="I85" s="44">
        <f t="shared" si="23"/>
        <v>5412</v>
      </c>
    </row>
    <row r="86" spans="1:9" ht="14.25" customHeight="1">
      <c r="A86" s="105"/>
      <c r="B86" s="107"/>
      <c r="C86" s="33" t="s">
        <v>50</v>
      </c>
      <c r="D86" s="31"/>
      <c r="E86" s="31"/>
      <c r="F86" s="31"/>
      <c r="G86" s="31"/>
      <c r="H86" s="31"/>
      <c r="I86" s="31"/>
    </row>
    <row r="87" spans="1:9" ht="15" customHeight="1">
      <c r="A87" s="105"/>
      <c r="B87" s="107"/>
      <c r="C87" s="34" t="s">
        <v>51</v>
      </c>
      <c r="D87" s="47">
        <v>3865.5</v>
      </c>
      <c r="E87" s="47"/>
      <c r="F87" s="47"/>
      <c r="G87" s="47"/>
      <c r="H87" s="47">
        <v>5412</v>
      </c>
      <c r="I87" s="47">
        <v>5412</v>
      </c>
    </row>
    <row r="88" spans="1:9">
      <c r="A88" s="106"/>
      <c r="B88" s="106"/>
      <c r="C88" s="34" t="s">
        <v>52</v>
      </c>
      <c r="D88" s="67"/>
      <c r="E88" s="67"/>
      <c r="F88" s="46"/>
      <c r="G88" s="67"/>
      <c r="H88" s="67"/>
      <c r="I88" s="67"/>
    </row>
    <row r="89" spans="1:9" ht="15" customHeight="1">
      <c r="A89" s="106"/>
      <c r="B89" s="106"/>
      <c r="C89" s="35" t="s">
        <v>54</v>
      </c>
      <c r="D89" s="47"/>
      <c r="E89" s="47"/>
      <c r="F89" s="47"/>
      <c r="G89" s="47"/>
      <c r="H89" s="47"/>
      <c r="I89" s="47"/>
    </row>
    <row r="90" spans="1:9">
      <c r="A90" s="105" t="s">
        <v>34</v>
      </c>
      <c r="B90" s="107" t="s">
        <v>36</v>
      </c>
      <c r="C90" s="32" t="s">
        <v>49</v>
      </c>
      <c r="D90" s="44">
        <f t="shared" ref="D90:I90" si="24">D92</f>
        <v>4236.8</v>
      </c>
      <c r="E90" s="44">
        <f t="shared" si="24"/>
        <v>0</v>
      </c>
      <c r="F90" s="44">
        <f t="shared" si="24"/>
        <v>0</v>
      </c>
      <c r="G90" s="44">
        <f t="shared" si="24"/>
        <v>0</v>
      </c>
      <c r="H90" s="44">
        <f t="shared" si="24"/>
        <v>4728</v>
      </c>
      <c r="I90" s="44">
        <f t="shared" si="24"/>
        <v>4728</v>
      </c>
    </row>
    <row r="91" spans="1:9">
      <c r="A91" s="105"/>
      <c r="B91" s="107"/>
      <c r="C91" s="33" t="s">
        <v>50</v>
      </c>
      <c r="D91" s="31"/>
      <c r="E91" s="31"/>
      <c r="F91" s="31"/>
      <c r="G91" s="31"/>
      <c r="H91" s="31"/>
      <c r="I91" s="31"/>
    </row>
    <row r="92" spans="1:9">
      <c r="A92" s="105"/>
      <c r="B92" s="107"/>
      <c r="C92" s="34" t="s">
        <v>51</v>
      </c>
      <c r="D92" s="47">
        <v>4236.8</v>
      </c>
      <c r="E92" s="47"/>
      <c r="F92" s="47"/>
      <c r="G92" s="47"/>
      <c r="H92" s="47">
        <v>4728</v>
      </c>
      <c r="I92" s="47">
        <v>4728</v>
      </c>
    </row>
    <row r="93" spans="1:9">
      <c r="A93" s="106"/>
      <c r="B93" s="106"/>
      <c r="C93" s="34" t="s">
        <v>52</v>
      </c>
      <c r="D93" s="67"/>
      <c r="E93" s="67"/>
      <c r="F93" s="46"/>
      <c r="G93" s="67"/>
      <c r="H93" s="67"/>
      <c r="I93" s="67"/>
    </row>
    <row r="94" spans="1:9" ht="25.5">
      <c r="A94" s="106"/>
      <c r="B94" s="106"/>
      <c r="C94" s="35" t="s">
        <v>54</v>
      </c>
      <c r="D94" s="47"/>
      <c r="E94" s="47"/>
      <c r="F94" s="47"/>
      <c r="G94" s="47"/>
      <c r="H94" s="47"/>
      <c r="I94" s="47"/>
    </row>
    <row r="95" spans="1:9">
      <c r="A95" s="105" t="s">
        <v>35</v>
      </c>
      <c r="B95" s="107" t="s">
        <v>37</v>
      </c>
      <c r="C95" s="32" t="s">
        <v>49</v>
      </c>
      <c r="D95" s="44">
        <f t="shared" ref="D95:I95" si="25">D96+D97</f>
        <v>365.9</v>
      </c>
      <c r="E95" s="44">
        <f t="shared" si="25"/>
        <v>378.7</v>
      </c>
      <c r="F95" s="44">
        <f t="shared" si="25"/>
        <v>356.7</v>
      </c>
      <c r="G95" s="44">
        <f t="shared" si="25"/>
        <v>351.6</v>
      </c>
      <c r="H95" s="44">
        <f t="shared" si="25"/>
        <v>536.20000000000005</v>
      </c>
      <c r="I95" s="44">
        <f t="shared" si="25"/>
        <v>536.20000000000005</v>
      </c>
    </row>
    <row r="96" spans="1:9">
      <c r="A96" s="105"/>
      <c r="B96" s="107"/>
      <c r="C96" s="33" t="s">
        <v>50</v>
      </c>
      <c r="D96" s="47">
        <v>365.9</v>
      </c>
      <c r="E96" s="47">
        <v>378.7</v>
      </c>
      <c r="F96" s="47">
        <v>356.7</v>
      </c>
      <c r="G96" s="47">
        <v>351.6</v>
      </c>
      <c r="H96" s="47">
        <v>536.20000000000005</v>
      </c>
      <c r="I96" s="47">
        <v>536.20000000000005</v>
      </c>
    </row>
    <row r="97" spans="1:9">
      <c r="A97" s="105"/>
      <c r="B97" s="107"/>
      <c r="C97" s="34" t="s">
        <v>51</v>
      </c>
      <c r="D97" s="31"/>
      <c r="E97" s="31"/>
      <c r="F97" s="31"/>
      <c r="G97" s="31"/>
      <c r="H97" s="31"/>
      <c r="I97" s="31"/>
    </row>
    <row r="98" spans="1:9">
      <c r="A98" s="106"/>
      <c r="B98" s="106"/>
      <c r="C98" s="34" t="s">
        <v>52</v>
      </c>
      <c r="D98" s="67"/>
      <c r="E98" s="67"/>
      <c r="F98" s="46"/>
      <c r="G98" s="67"/>
      <c r="H98" s="67"/>
      <c r="I98" s="67"/>
    </row>
    <row r="99" spans="1:9" ht="25.5">
      <c r="A99" s="106"/>
      <c r="B99" s="106"/>
      <c r="C99" s="35" t="s">
        <v>54</v>
      </c>
      <c r="D99" s="47"/>
      <c r="E99" s="47"/>
      <c r="F99" s="47"/>
      <c r="G99" s="47"/>
      <c r="H99" s="47"/>
      <c r="I99" s="47"/>
    </row>
    <row r="100" spans="1:9">
      <c r="A100" s="105" t="s">
        <v>38</v>
      </c>
      <c r="B100" s="107" t="s">
        <v>32</v>
      </c>
      <c r="C100" s="32" t="s">
        <v>49</v>
      </c>
      <c r="D100" s="44">
        <f t="shared" ref="D100:I100" si="26">D102</f>
        <v>4074</v>
      </c>
      <c r="E100" s="44">
        <f t="shared" si="26"/>
        <v>12460</v>
      </c>
      <c r="F100" s="44">
        <f t="shared" si="26"/>
        <v>12290</v>
      </c>
      <c r="G100" s="44">
        <f t="shared" si="26"/>
        <v>11640</v>
      </c>
      <c r="H100" s="44">
        <f t="shared" si="26"/>
        <v>4418</v>
      </c>
      <c r="I100" s="44">
        <f t="shared" si="26"/>
        <v>4418</v>
      </c>
    </row>
    <row r="101" spans="1:9">
      <c r="A101" s="105"/>
      <c r="B101" s="107"/>
      <c r="C101" s="33" t="s">
        <v>50</v>
      </c>
      <c r="D101" s="31"/>
      <c r="E101" s="31"/>
      <c r="F101" s="31"/>
      <c r="G101" s="31"/>
      <c r="H101" s="31"/>
      <c r="I101" s="31"/>
    </row>
    <row r="102" spans="1:9">
      <c r="A102" s="105"/>
      <c r="B102" s="107"/>
      <c r="C102" s="34" t="s">
        <v>51</v>
      </c>
      <c r="D102" s="47">
        <v>4074</v>
      </c>
      <c r="E102" s="47">
        <v>12460</v>
      </c>
      <c r="F102" s="47">
        <f>12290</f>
        <v>12290</v>
      </c>
      <c r="G102" s="47">
        <f>11640</f>
        <v>11640</v>
      </c>
      <c r="H102" s="47">
        <v>4418</v>
      </c>
      <c r="I102" s="47">
        <v>4418</v>
      </c>
    </row>
    <row r="103" spans="1:9">
      <c r="A103" s="106"/>
      <c r="B103" s="106"/>
      <c r="C103" s="34" t="s">
        <v>52</v>
      </c>
      <c r="D103" s="67"/>
      <c r="E103" s="67"/>
      <c r="F103" s="46"/>
      <c r="G103" s="67"/>
      <c r="H103" s="67"/>
      <c r="I103" s="67"/>
    </row>
    <row r="104" spans="1:9" ht="25.5">
      <c r="A104" s="106"/>
      <c r="B104" s="106"/>
      <c r="C104" s="35" t="s">
        <v>54</v>
      </c>
      <c r="D104" s="47"/>
      <c r="E104" s="47"/>
      <c r="F104" s="47"/>
      <c r="G104" s="47"/>
      <c r="H104" s="47"/>
      <c r="I104" s="47"/>
    </row>
    <row r="105" spans="1:9">
      <c r="A105" s="85" t="s">
        <v>48</v>
      </c>
      <c r="B105" s="101" t="s">
        <v>19</v>
      </c>
      <c r="C105" s="32" t="s">
        <v>49</v>
      </c>
      <c r="D105" s="44">
        <f t="shared" ref="D105:I105" si="27">D107</f>
        <v>95.1</v>
      </c>
      <c r="E105" s="44">
        <f t="shared" si="27"/>
        <v>103</v>
      </c>
      <c r="F105" s="44">
        <f t="shared" si="27"/>
        <v>103</v>
      </c>
      <c r="G105" s="44">
        <f t="shared" si="27"/>
        <v>103</v>
      </c>
      <c r="H105" s="44">
        <f t="shared" si="27"/>
        <v>85</v>
      </c>
      <c r="I105" s="44">
        <f t="shared" si="27"/>
        <v>85</v>
      </c>
    </row>
    <row r="106" spans="1:9">
      <c r="A106" s="86"/>
      <c r="B106" s="102"/>
      <c r="C106" s="33" t="s">
        <v>50</v>
      </c>
      <c r="D106" s="31"/>
      <c r="E106" s="31"/>
      <c r="F106" s="31"/>
      <c r="G106" s="31"/>
      <c r="H106" s="31"/>
      <c r="I106" s="31"/>
    </row>
    <row r="107" spans="1:9">
      <c r="A107" s="86"/>
      <c r="B107" s="102"/>
      <c r="C107" s="34" t="s">
        <v>51</v>
      </c>
      <c r="D107" s="31">
        <v>95.1</v>
      </c>
      <c r="E107" s="31">
        <v>103</v>
      </c>
      <c r="F107" s="31">
        <v>103</v>
      </c>
      <c r="G107" s="31">
        <v>103</v>
      </c>
      <c r="H107" s="31">
        <v>85</v>
      </c>
      <c r="I107" s="31">
        <v>85</v>
      </c>
    </row>
    <row r="108" spans="1:9">
      <c r="A108" s="87"/>
      <c r="B108" s="103"/>
      <c r="C108" s="34" t="s">
        <v>52</v>
      </c>
      <c r="D108" s="27"/>
      <c r="E108" s="27"/>
      <c r="F108" s="8"/>
      <c r="G108" s="26"/>
      <c r="H108" s="27"/>
      <c r="I108" s="27"/>
    </row>
    <row r="109" spans="1:9" ht="25.5">
      <c r="A109" s="88"/>
      <c r="B109" s="104"/>
      <c r="C109" s="35" t="s">
        <v>54</v>
      </c>
      <c r="D109" s="8"/>
      <c r="E109" s="8"/>
      <c r="F109" s="8"/>
      <c r="G109" s="8"/>
      <c r="H109" s="8"/>
      <c r="I109" s="8"/>
    </row>
    <row r="110" spans="1:9" ht="15.75">
      <c r="A110" s="3"/>
      <c r="D110" s="3"/>
    </row>
    <row r="111" spans="1:9" ht="15.75">
      <c r="A111" s="49" t="s">
        <v>57</v>
      </c>
      <c r="B111" s="49"/>
      <c r="C111" s="49"/>
      <c r="D111" s="49"/>
      <c r="E111" s="50"/>
      <c r="F111" s="50" t="s">
        <v>63</v>
      </c>
      <c r="G111" s="22"/>
      <c r="H111" s="22"/>
      <c r="I111" s="22"/>
    </row>
    <row r="112" spans="1:9" ht="15.75">
      <c r="A112" s="3"/>
      <c r="D112" s="22"/>
      <c r="E112" s="22"/>
      <c r="F112" s="22"/>
      <c r="G112" s="22"/>
      <c r="H112" s="22"/>
      <c r="I112" s="22"/>
    </row>
    <row r="113" spans="1:5" ht="15.75">
      <c r="A113" s="3"/>
      <c r="D113" s="22"/>
      <c r="E113" s="22"/>
    </row>
    <row r="114" spans="1:5">
      <c r="D114" s="22"/>
    </row>
    <row r="115" spans="1:5">
      <c r="D115" s="22"/>
    </row>
  </sheetData>
  <mergeCells count="46">
    <mergeCell ref="A105:A109"/>
    <mergeCell ref="B105:B109"/>
    <mergeCell ref="A100:A104"/>
    <mergeCell ref="B100:B104"/>
    <mergeCell ref="A85:A89"/>
    <mergeCell ref="B85:B89"/>
    <mergeCell ref="A90:A94"/>
    <mergeCell ref="B90:B94"/>
    <mergeCell ref="A95:A99"/>
    <mergeCell ref="B95:B99"/>
    <mergeCell ref="A70:A74"/>
    <mergeCell ref="B70:B74"/>
    <mergeCell ref="A75:A79"/>
    <mergeCell ref="B75:B79"/>
    <mergeCell ref="A80:A84"/>
    <mergeCell ref="B80:B84"/>
    <mergeCell ref="A55:A59"/>
    <mergeCell ref="B55:B59"/>
    <mergeCell ref="A60:A64"/>
    <mergeCell ref="B60:B64"/>
    <mergeCell ref="A65:A69"/>
    <mergeCell ref="B65:B69"/>
    <mergeCell ref="A40:A44"/>
    <mergeCell ref="B40:B44"/>
    <mergeCell ref="A45:A47"/>
    <mergeCell ref="B45:B47"/>
    <mergeCell ref="A50:A54"/>
    <mergeCell ref="B50:B54"/>
    <mergeCell ref="A25:A29"/>
    <mergeCell ref="B25:B29"/>
    <mergeCell ref="A30:A34"/>
    <mergeCell ref="B30:B34"/>
    <mergeCell ref="A35:A39"/>
    <mergeCell ref="B35:B39"/>
    <mergeCell ref="A10:A14"/>
    <mergeCell ref="B10:B14"/>
    <mergeCell ref="A15:A19"/>
    <mergeCell ref="B15:B19"/>
    <mergeCell ref="A20:A24"/>
    <mergeCell ref="B20:B24"/>
    <mergeCell ref="E1:F1"/>
    <mergeCell ref="A5:I5"/>
    <mergeCell ref="A7:A8"/>
    <mergeCell ref="B7:B8"/>
    <mergeCell ref="C7:C8"/>
    <mergeCell ref="D7:I7"/>
  </mergeCells>
  <pageMargins left="0.15748031496062992" right="0.15748031496062992" top="0.36" bottom="0.51181102362204722" header="0.15748031496062992" footer="0.15748031496062992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21"/>
  <sheetViews>
    <sheetView tabSelected="1" topLeftCell="A69" workbookViewId="0">
      <selection activeCell="D93" sqref="D93"/>
    </sheetView>
  </sheetViews>
  <sheetFormatPr defaultRowHeight="15"/>
  <cols>
    <col min="1" max="1" width="21" customWidth="1"/>
    <col min="2" max="2" width="30.85546875" customWidth="1"/>
    <col min="3" max="3" width="22.42578125" customWidth="1"/>
    <col min="4" max="4" width="29.140625" customWidth="1"/>
    <col min="5" max="6" width="16.42578125" customWidth="1"/>
    <col min="7" max="7" width="14.7109375" customWidth="1"/>
    <col min="8" max="8" width="14.85546875" customWidth="1"/>
    <col min="9" max="9" width="13.85546875" customWidth="1"/>
    <col min="10" max="10" width="13.42578125" customWidth="1"/>
  </cols>
  <sheetData>
    <row r="1" spans="1:10" ht="15.75">
      <c r="E1" s="2"/>
      <c r="F1" s="77" t="s">
        <v>59</v>
      </c>
      <c r="G1" s="77"/>
      <c r="H1" s="51"/>
      <c r="I1" s="51"/>
      <c r="J1" s="51"/>
    </row>
    <row r="2" spans="1:10" ht="15.75">
      <c r="E2" s="52" t="s">
        <v>61</v>
      </c>
      <c r="F2" s="52"/>
      <c r="G2" s="52"/>
      <c r="H2" s="51"/>
      <c r="I2" s="51"/>
      <c r="J2" s="51"/>
    </row>
    <row r="3" spans="1:10" ht="15.75">
      <c r="E3" s="53"/>
      <c r="F3" s="54" t="s">
        <v>182</v>
      </c>
      <c r="G3" s="53"/>
      <c r="H3" s="51"/>
      <c r="I3" s="51"/>
      <c r="J3" s="51"/>
    </row>
    <row r="4" spans="1:10">
      <c r="A4" s="78" t="s">
        <v>130</v>
      </c>
      <c r="B4" s="78"/>
      <c r="C4" s="78"/>
      <c r="D4" s="78"/>
      <c r="E4" s="78"/>
      <c r="F4" s="78"/>
      <c r="G4" s="78"/>
      <c r="H4" s="79"/>
      <c r="I4" s="79"/>
      <c r="J4" s="79"/>
    </row>
    <row r="5" spans="1:10">
      <c r="A5" s="123"/>
      <c r="B5" s="123"/>
      <c r="C5" s="123"/>
      <c r="D5" s="123"/>
      <c r="E5" s="123"/>
      <c r="F5" s="123"/>
      <c r="G5" s="123"/>
      <c r="H5" s="123"/>
      <c r="I5" s="123"/>
      <c r="J5" s="123"/>
    </row>
    <row r="6" spans="1:10">
      <c r="A6" s="68"/>
      <c r="B6" s="68"/>
      <c r="C6" s="68"/>
      <c r="D6" s="69"/>
      <c r="E6" s="68"/>
      <c r="F6" s="68"/>
      <c r="G6" s="68"/>
      <c r="H6" s="68"/>
      <c r="I6" s="68"/>
      <c r="J6" s="68"/>
    </row>
    <row r="7" spans="1:10">
      <c r="A7" s="80" t="s">
        <v>0</v>
      </c>
      <c r="B7" s="81" t="s">
        <v>1</v>
      </c>
      <c r="C7" s="82" t="s">
        <v>2</v>
      </c>
      <c r="D7" s="121" t="s">
        <v>15</v>
      </c>
      <c r="E7" s="83" t="s">
        <v>3</v>
      </c>
      <c r="F7" s="84"/>
      <c r="G7" s="84"/>
      <c r="H7" s="84"/>
      <c r="I7" s="84"/>
      <c r="J7" s="84"/>
    </row>
    <row r="8" spans="1:10" ht="126.75" customHeight="1">
      <c r="A8" s="80"/>
      <c r="B8" s="81"/>
      <c r="C8" s="82"/>
      <c r="D8" s="122"/>
      <c r="E8" s="37" t="s">
        <v>77</v>
      </c>
      <c r="F8" s="37" t="s">
        <v>78</v>
      </c>
      <c r="G8" s="25" t="s">
        <v>79</v>
      </c>
      <c r="H8" s="25" t="s">
        <v>80</v>
      </c>
      <c r="I8" s="25" t="s">
        <v>81</v>
      </c>
      <c r="J8" s="25" t="s">
        <v>82</v>
      </c>
    </row>
    <row r="9" spans="1:10">
      <c r="A9" s="39">
        <v>1</v>
      </c>
      <c r="B9" s="39">
        <v>2</v>
      </c>
      <c r="C9" s="5">
        <v>3</v>
      </c>
      <c r="D9" s="39">
        <v>4</v>
      </c>
      <c r="E9" s="5">
        <v>5</v>
      </c>
      <c r="F9" s="39">
        <v>6</v>
      </c>
      <c r="G9" s="5">
        <v>7</v>
      </c>
      <c r="H9" s="39">
        <v>8</v>
      </c>
      <c r="I9" s="39">
        <v>9</v>
      </c>
      <c r="J9" s="5">
        <v>10</v>
      </c>
    </row>
    <row r="10" spans="1:10">
      <c r="A10" s="89" t="s">
        <v>4</v>
      </c>
      <c r="B10" s="85" t="s">
        <v>183</v>
      </c>
      <c r="C10" s="38" t="s">
        <v>5</v>
      </c>
      <c r="D10" s="38"/>
      <c r="E10" s="41">
        <f t="shared" ref="E10:J10" si="0">E12</f>
        <v>214288.52463999999</v>
      </c>
      <c r="F10" s="41">
        <f t="shared" si="0"/>
        <v>199448.50000000003</v>
      </c>
      <c r="G10" s="41">
        <f t="shared" si="0"/>
        <v>185786.19999999998</v>
      </c>
      <c r="H10" s="41">
        <f t="shared" si="0"/>
        <v>193169.7</v>
      </c>
      <c r="I10" s="41">
        <f t="shared" si="0"/>
        <v>195480.196</v>
      </c>
      <c r="J10" s="41">
        <f t="shared" si="0"/>
        <v>195480.196</v>
      </c>
    </row>
    <row r="11" spans="1:10">
      <c r="A11" s="89"/>
      <c r="B11" s="86"/>
      <c r="C11" s="6" t="s">
        <v>6</v>
      </c>
      <c r="D11" s="21"/>
      <c r="E11" s="58"/>
      <c r="F11" s="58"/>
      <c r="G11" s="58"/>
      <c r="H11" s="58"/>
      <c r="I11" s="58"/>
      <c r="J11" s="58"/>
    </row>
    <row r="12" spans="1:10" ht="57" customHeight="1">
      <c r="A12" s="89"/>
      <c r="B12" s="120"/>
      <c r="C12" s="6" t="s">
        <v>7</v>
      </c>
      <c r="D12" s="21"/>
      <c r="E12" s="58">
        <f t="shared" ref="E12:J12" si="1">E13+E91+E110+E124</f>
        <v>214288.52463999999</v>
      </c>
      <c r="F12" s="58">
        <f t="shared" si="1"/>
        <v>199448.50000000003</v>
      </c>
      <c r="G12" s="58">
        <f t="shared" si="1"/>
        <v>185786.19999999998</v>
      </c>
      <c r="H12" s="58">
        <f t="shared" si="1"/>
        <v>193169.7</v>
      </c>
      <c r="I12" s="58">
        <f t="shared" si="1"/>
        <v>195480.196</v>
      </c>
      <c r="J12" s="58">
        <f t="shared" si="1"/>
        <v>195480.196</v>
      </c>
    </row>
    <row r="13" spans="1:10">
      <c r="A13" s="89" t="s">
        <v>8</v>
      </c>
      <c r="B13" s="89" t="s">
        <v>40</v>
      </c>
      <c r="C13" s="18" t="s">
        <v>5</v>
      </c>
      <c r="D13" s="18"/>
      <c r="E13" s="42">
        <f t="shared" ref="E13:J13" si="2">E15</f>
        <v>175364.11191000001</v>
      </c>
      <c r="F13" s="42">
        <f t="shared" si="2"/>
        <v>162715.80000000002</v>
      </c>
      <c r="G13" s="42">
        <f t="shared" si="2"/>
        <v>150719.49999999997</v>
      </c>
      <c r="H13" s="42">
        <f t="shared" si="2"/>
        <v>158775.1</v>
      </c>
      <c r="I13" s="42">
        <f t="shared" si="2"/>
        <v>159769.78899999999</v>
      </c>
      <c r="J13" s="42">
        <f t="shared" si="2"/>
        <v>159769.78899999999</v>
      </c>
    </row>
    <row r="14" spans="1:10">
      <c r="A14" s="89"/>
      <c r="B14" s="89"/>
      <c r="C14" s="6" t="s">
        <v>6</v>
      </c>
      <c r="D14" s="21"/>
      <c r="E14" s="43"/>
      <c r="F14" s="43"/>
      <c r="G14" s="43"/>
      <c r="H14" s="43"/>
      <c r="I14" s="43"/>
      <c r="J14" s="43"/>
    </row>
    <row r="15" spans="1:10" ht="80.25" customHeight="1">
      <c r="A15" s="89"/>
      <c r="B15" s="89"/>
      <c r="C15" s="6" t="s">
        <v>7</v>
      </c>
      <c r="D15" s="21"/>
      <c r="E15" s="43">
        <f t="shared" ref="E15" si="3">E16+E25+E37+E41+E65+E80</f>
        <v>175364.11191000001</v>
      </c>
      <c r="F15" s="43">
        <f t="shared" ref="F15" si="4">F16+F25+F37+F41+F65+F80</f>
        <v>162715.80000000002</v>
      </c>
      <c r="G15" s="43">
        <f t="shared" ref="G15" si="5">G16+G25+G37+G41+G65+G80</f>
        <v>150719.49999999997</v>
      </c>
      <c r="H15" s="43">
        <f t="shared" ref="H15" si="6">H16+H25+H37+H41+H65+H80</f>
        <v>158775.1</v>
      </c>
      <c r="I15" s="43">
        <f t="shared" ref="I15" si="7">I16+I25+I37+I41+I65+I80</f>
        <v>159769.78899999999</v>
      </c>
      <c r="J15" s="43">
        <f t="shared" ref="J15" si="8">J16+J25+J37+J41+J65+J80</f>
        <v>159769.78899999999</v>
      </c>
    </row>
    <row r="16" spans="1:10">
      <c r="A16" s="85" t="s">
        <v>9</v>
      </c>
      <c r="B16" s="90" t="s">
        <v>16</v>
      </c>
      <c r="C16" s="14" t="s">
        <v>5</v>
      </c>
      <c r="D16" s="17">
        <v>9.2407010117829504E+16</v>
      </c>
      <c r="E16" s="44">
        <f>E18+E19+E20+E21+E22+E23+E24</f>
        <v>12893.7</v>
      </c>
      <c r="F16" s="44">
        <f>F18+F19+F20+F21+F22+F23+F24</f>
        <v>13393.7</v>
      </c>
      <c r="G16" s="44">
        <f>G18+G19+G22+G23+G24+G20+G21</f>
        <v>14127.4</v>
      </c>
      <c r="H16" s="44">
        <f>H18+H19+H22+H23+H24+H20+H21</f>
        <v>14945.6</v>
      </c>
      <c r="I16" s="44">
        <f>I18+I19+I22+I23+I24+I20+I21</f>
        <v>12479.975</v>
      </c>
      <c r="J16" s="44">
        <f>J18+J19+J22+J23+J24+J20+J21</f>
        <v>12479.975</v>
      </c>
    </row>
    <row r="17" spans="1:10">
      <c r="A17" s="86"/>
      <c r="B17" s="91"/>
      <c r="C17" s="7" t="s">
        <v>6</v>
      </c>
      <c r="D17" s="7"/>
      <c r="E17" s="31"/>
      <c r="F17" s="31"/>
      <c r="G17" s="31"/>
      <c r="H17" s="31"/>
      <c r="I17" s="31"/>
      <c r="J17" s="31"/>
    </row>
    <row r="18" spans="1:10" ht="27" customHeight="1">
      <c r="A18" s="86"/>
      <c r="B18" s="91"/>
      <c r="C18" s="115" t="s">
        <v>7</v>
      </c>
      <c r="D18" s="13" t="s">
        <v>83</v>
      </c>
      <c r="E18" s="31">
        <f>1496.5005+3868.8871+749.60299+753.07762+697.68941+649.3+696.12578+659.27126</f>
        <v>9570.4546599999994</v>
      </c>
      <c r="F18" s="31">
        <v>10081.200000000001</v>
      </c>
      <c r="G18" s="31">
        <v>10633</v>
      </c>
      <c r="H18" s="31">
        <v>11249</v>
      </c>
      <c r="I18" s="31">
        <v>9224.42</v>
      </c>
      <c r="J18" s="31">
        <v>9224.42</v>
      </c>
    </row>
    <row r="19" spans="1:10" ht="21.75" customHeight="1">
      <c r="A19" s="86"/>
      <c r="B19" s="91"/>
      <c r="C19" s="116"/>
      <c r="D19" s="13" t="s">
        <v>84</v>
      </c>
      <c r="E19" s="31">
        <f>452.57462+1190.32925+234.97976+224.8148+201.25016+199.42583+210.23+196.5288</f>
        <v>2910.1332200000002</v>
      </c>
      <c r="F19" s="31">
        <v>3044.5</v>
      </c>
      <c r="G19" s="31">
        <v>3211.4</v>
      </c>
      <c r="H19" s="31">
        <v>3397.6</v>
      </c>
      <c r="I19" s="31">
        <v>2765.1509999999998</v>
      </c>
      <c r="J19" s="31">
        <v>2765.1509999999998</v>
      </c>
    </row>
    <row r="20" spans="1:10" ht="21.75" customHeight="1">
      <c r="A20" s="86"/>
      <c r="B20" s="91"/>
      <c r="C20" s="116"/>
      <c r="D20" s="13" t="s">
        <v>85</v>
      </c>
      <c r="E20" s="31">
        <v>62.304000000000002</v>
      </c>
      <c r="F20" s="31">
        <v>61</v>
      </c>
      <c r="G20" s="31">
        <v>61</v>
      </c>
      <c r="H20" s="31">
        <v>65</v>
      </c>
      <c r="I20" s="31">
        <v>65.103999999999999</v>
      </c>
      <c r="J20" s="31">
        <v>65.103999999999999</v>
      </c>
    </row>
    <row r="21" spans="1:10" ht="21.75" customHeight="1">
      <c r="A21" s="86"/>
      <c r="B21" s="91"/>
      <c r="C21" s="116"/>
      <c r="D21" s="13" t="s">
        <v>86</v>
      </c>
      <c r="E21" s="31"/>
      <c r="F21" s="31">
        <f>E21*0.96370968</f>
        <v>0</v>
      </c>
      <c r="G21" s="31"/>
      <c r="H21" s="31"/>
      <c r="I21" s="31">
        <v>40.063000000000002</v>
      </c>
      <c r="J21" s="31">
        <v>40.063000000000002</v>
      </c>
    </row>
    <row r="22" spans="1:10" ht="30.75" customHeight="1">
      <c r="A22" s="86"/>
      <c r="B22" s="91"/>
      <c r="C22" s="116"/>
      <c r="D22" s="13" t="s">
        <v>87</v>
      </c>
      <c r="E22" s="31">
        <f>34.6</f>
        <v>34.6</v>
      </c>
      <c r="F22" s="31">
        <v>24</v>
      </c>
      <c r="G22" s="31">
        <v>24</v>
      </c>
      <c r="H22" s="31">
        <v>24</v>
      </c>
      <c r="I22" s="31">
        <v>74.421999999999997</v>
      </c>
      <c r="J22" s="31">
        <v>74.421999999999997</v>
      </c>
    </row>
    <row r="23" spans="1:10" ht="30.75" customHeight="1">
      <c r="A23" s="86"/>
      <c r="B23" s="91"/>
      <c r="C23" s="116"/>
      <c r="D23" s="13" t="s">
        <v>88</v>
      </c>
      <c r="E23" s="31">
        <f>24.74309+8.02272+76.944</f>
        <v>109.70981</v>
      </c>
      <c r="F23" s="31">
        <v>80</v>
      </c>
      <c r="G23" s="31">
        <v>80</v>
      </c>
      <c r="H23" s="31">
        <v>107</v>
      </c>
      <c r="I23" s="31">
        <v>187.00200000000001</v>
      </c>
      <c r="J23" s="31">
        <v>187.00200000000001</v>
      </c>
    </row>
    <row r="24" spans="1:10" ht="30.75" customHeight="1">
      <c r="A24" s="86"/>
      <c r="B24" s="91"/>
      <c r="C24" s="116"/>
      <c r="D24" s="13" t="s">
        <v>89</v>
      </c>
      <c r="E24" s="31">
        <f>4.06+200.84831+1.59</f>
        <v>206.49831</v>
      </c>
      <c r="F24" s="31">
        <f>40+63</f>
        <v>103</v>
      </c>
      <c r="G24" s="31">
        <v>118</v>
      </c>
      <c r="H24" s="31">
        <v>103</v>
      </c>
      <c r="I24" s="31">
        <v>123.813</v>
      </c>
      <c r="J24" s="31">
        <v>123.813</v>
      </c>
    </row>
    <row r="25" spans="1:10">
      <c r="A25" s="85" t="s">
        <v>62</v>
      </c>
      <c r="B25" s="85" t="s">
        <v>17</v>
      </c>
      <c r="C25" s="14" t="s">
        <v>5</v>
      </c>
      <c r="D25" s="59"/>
      <c r="E25" s="44">
        <f t="shared" ref="E25:J25" si="9">E26+E27</f>
        <v>102190.39999999999</v>
      </c>
      <c r="F25" s="44">
        <f t="shared" si="9"/>
        <v>104990.40000000001</v>
      </c>
      <c r="G25" s="44">
        <f t="shared" si="9"/>
        <v>111023.2</v>
      </c>
      <c r="H25" s="44">
        <f t="shared" si="9"/>
        <v>117222.3</v>
      </c>
      <c r="I25" s="44">
        <f t="shared" si="9"/>
        <v>115047.633</v>
      </c>
      <c r="J25" s="44">
        <f t="shared" si="9"/>
        <v>115047.633</v>
      </c>
    </row>
    <row r="26" spans="1:10">
      <c r="A26" s="86"/>
      <c r="B26" s="86"/>
      <c r="C26" s="23" t="s">
        <v>6</v>
      </c>
      <c r="D26" s="13" t="s">
        <v>91</v>
      </c>
      <c r="E26" s="63">
        <v>22277.766</v>
      </c>
      <c r="F26" s="63">
        <v>21574</v>
      </c>
      <c r="G26" s="63">
        <v>25000</v>
      </c>
      <c r="H26" s="63">
        <v>27000</v>
      </c>
      <c r="I26" s="63">
        <v>22619</v>
      </c>
      <c r="J26" s="63">
        <v>22619</v>
      </c>
    </row>
    <row r="27" spans="1:10">
      <c r="A27" s="86"/>
      <c r="B27" s="86"/>
      <c r="C27" s="117"/>
      <c r="D27" s="60"/>
      <c r="E27" s="63">
        <f>E28+E29+E30+E31+E32+E33+E34+E35+E36</f>
        <v>79912.633999999991</v>
      </c>
      <c r="F27" s="63">
        <f t="shared" ref="F27:J27" si="10">F28+F29+F30+F33+F35+F36+F32</f>
        <v>83416.400000000009</v>
      </c>
      <c r="G27" s="63">
        <f t="shared" si="10"/>
        <v>86023.2</v>
      </c>
      <c r="H27" s="63">
        <f t="shared" si="10"/>
        <v>90222.3</v>
      </c>
      <c r="I27" s="63">
        <f t="shared" si="10"/>
        <v>92428.633000000002</v>
      </c>
      <c r="J27" s="63">
        <f t="shared" si="10"/>
        <v>92428.633000000002</v>
      </c>
    </row>
    <row r="28" spans="1:10" ht="25.5" customHeight="1">
      <c r="A28" s="86"/>
      <c r="B28" s="86"/>
      <c r="C28" s="117"/>
      <c r="D28" s="13" t="s">
        <v>64</v>
      </c>
      <c r="E28" s="63">
        <v>58814.570209999998</v>
      </c>
      <c r="F28" s="63">
        <v>61505.18</v>
      </c>
      <c r="G28" s="63">
        <v>63427</v>
      </c>
      <c r="H28" s="63">
        <v>66524</v>
      </c>
      <c r="I28" s="63">
        <v>68047.046000000002</v>
      </c>
      <c r="J28" s="63">
        <v>68047.046000000002</v>
      </c>
    </row>
    <row r="29" spans="1:10" ht="15.75" customHeight="1">
      <c r="A29" s="86"/>
      <c r="B29" s="86"/>
      <c r="C29" s="117"/>
      <c r="D29" s="13" t="s">
        <v>65</v>
      </c>
      <c r="E29" s="63">
        <v>17878.479360000001</v>
      </c>
      <c r="F29" s="63">
        <v>18574.560000000001</v>
      </c>
      <c r="G29" s="63">
        <v>19155.3</v>
      </c>
      <c r="H29" s="63">
        <v>20089.3</v>
      </c>
      <c r="I29" s="63">
        <v>20550.953000000001</v>
      </c>
      <c r="J29" s="63">
        <v>20550.953000000001</v>
      </c>
    </row>
    <row r="30" spans="1:10" ht="18" customHeight="1">
      <c r="A30" s="86"/>
      <c r="B30" s="86"/>
      <c r="C30" s="117"/>
      <c r="D30" s="13" t="s">
        <v>66</v>
      </c>
      <c r="E30" s="63">
        <v>398.74560000000002</v>
      </c>
      <c r="F30" s="63">
        <v>564</v>
      </c>
      <c r="G30" s="63">
        <v>600</v>
      </c>
      <c r="H30" s="63">
        <v>600</v>
      </c>
      <c r="I30" s="63">
        <v>641.58399999999995</v>
      </c>
      <c r="J30" s="63">
        <v>641.58399999999995</v>
      </c>
    </row>
    <row r="31" spans="1:10" ht="18" customHeight="1">
      <c r="A31" s="86"/>
      <c r="B31" s="86"/>
      <c r="C31" s="117"/>
      <c r="D31" s="13" t="s">
        <v>92</v>
      </c>
      <c r="E31" s="63"/>
      <c r="F31" s="63">
        <f t="shared" ref="F31" si="11">E31*1.1133479536</f>
        <v>0</v>
      </c>
      <c r="G31" s="63"/>
      <c r="H31" s="63"/>
      <c r="I31" s="63"/>
      <c r="J31" s="63"/>
    </row>
    <row r="32" spans="1:10" ht="18" customHeight="1">
      <c r="A32" s="86"/>
      <c r="B32" s="86"/>
      <c r="C32" s="117"/>
      <c r="D32" s="13" t="s">
        <v>93</v>
      </c>
      <c r="E32" s="63">
        <f>1.2+83.28</f>
        <v>84.48</v>
      </c>
      <c r="F32" s="63">
        <f>100</f>
        <v>100</v>
      </c>
      <c r="G32" s="63">
        <v>100</v>
      </c>
      <c r="H32" s="63">
        <v>120</v>
      </c>
      <c r="I32" s="63">
        <v>183.874</v>
      </c>
      <c r="J32" s="63">
        <v>183.874</v>
      </c>
    </row>
    <row r="33" spans="1:10" ht="27" customHeight="1">
      <c r="A33" s="86"/>
      <c r="B33" s="86"/>
      <c r="C33" s="117"/>
      <c r="D33" s="13" t="s">
        <v>94</v>
      </c>
      <c r="E33" s="63">
        <f>64.0531+26.802+34.73664+579.09577</f>
        <v>704.68750999999997</v>
      </c>
      <c r="F33" s="63">
        <f>70+47+80</f>
        <v>197</v>
      </c>
      <c r="G33" s="63">
        <v>197</v>
      </c>
      <c r="H33" s="63">
        <v>217</v>
      </c>
      <c r="I33" s="63">
        <v>371.43</v>
      </c>
      <c r="J33" s="63">
        <v>371.43</v>
      </c>
    </row>
    <row r="34" spans="1:10" ht="27" customHeight="1">
      <c r="A34" s="86"/>
      <c r="B34" s="86"/>
      <c r="C34" s="117"/>
      <c r="D34" s="13" t="s">
        <v>131</v>
      </c>
      <c r="E34" s="63">
        <v>3.75</v>
      </c>
      <c r="F34" s="63"/>
      <c r="G34" s="63"/>
      <c r="H34" s="63"/>
      <c r="I34" s="63"/>
      <c r="J34" s="63"/>
    </row>
    <row r="35" spans="1:10" ht="19.5" customHeight="1">
      <c r="A35" s="86"/>
      <c r="B35" s="86"/>
      <c r="C35" s="117"/>
      <c r="D35" s="13" t="s">
        <v>95</v>
      </c>
      <c r="E35" s="63">
        <f>717.40437+177.082+99.968+378.21164+189.97054+62.51+39.8</f>
        <v>1664.9465499999999</v>
      </c>
      <c r="F35" s="63">
        <f>1000+925.66</f>
        <v>1925.6599999999999</v>
      </c>
      <c r="G35" s="63">
        <v>1993.9</v>
      </c>
      <c r="H35" s="63">
        <v>2122</v>
      </c>
      <c r="I35" s="63">
        <v>2320.91</v>
      </c>
      <c r="J35" s="63">
        <v>2320.91</v>
      </c>
    </row>
    <row r="36" spans="1:10" ht="20.25" customHeight="1">
      <c r="A36" s="86"/>
      <c r="B36" s="86"/>
      <c r="C36" s="118"/>
      <c r="D36" s="13" t="s">
        <v>96</v>
      </c>
      <c r="E36" s="63">
        <f>27.72448+286.00104+36.28+1.85806+11.11119</f>
        <v>362.97476999999998</v>
      </c>
      <c r="F36" s="63">
        <v>550</v>
      </c>
      <c r="G36" s="63">
        <v>550</v>
      </c>
      <c r="H36" s="63">
        <v>550</v>
      </c>
      <c r="I36" s="63">
        <v>312.83600000000001</v>
      </c>
      <c r="J36" s="63">
        <v>312.83600000000001</v>
      </c>
    </row>
    <row r="37" spans="1:10" ht="24.75" customHeight="1">
      <c r="A37" s="89" t="s">
        <v>56</v>
      </c>
      <c r="B37" s="89" t="s">
        <v>18</v>
      </c>
      <c r="C37" s="6" t="s">
        <v>5</v>
      </c>
      <c r="D37" s="14"/>
      <c r="E37" s="44">
        <f t="shared" ref="E37:J37" si="12">E39+E40</f>
        <v>1111.5999999999999</v>
      </c>
      <c r="F37" s="44">
        <f t="shared" si="12"/>
        <v>1100</v>
      </c>
      <c r="G37" s="44">
        <f t="shared" si="12"/>
        <v>964</v>
      </c>
      <c r="H37" s="44">
        <f t="shared" si="12"/>
        <v>996</v>
      </c>
      <c r="I37" s="44">
        <f t="shared" si="12"/>
        <v>902</v>
      </c>
      <c r="J37" s="44">
        <f t="shared" si="12"/>
        <v>902</v>
      </c>
    </row>
    <row r="38" spans="1:10" ht="22.5" customHeight="1">
      <c r="A38" s="89"/>
      <c r="B38" s="89"/>
      <c r="C38" s="6" t="s">
        <v>6</v>
      </c>
      <c r="D38" s="6"/>
      <c r="E38" s="63"/>
      <c r="F38" s="63"/>
      <c r="G38" s="31"/>
      <c r="H38" s="63"/>
      <c r="I38" s="63"/>
      <c r="J38" s="63"/>
    </row>
    <row r="39" spans="1:10" ht="22.5" customHeight="1">
      <c r="A39" s="89"/>
      <c r="B39" s="89"/>
      <c r="C39" s="6"/>
      <c r="D39" s="13" t="s">
        <v>90</v>
      </c>
      <c r="E39" s="31">
        <f>351.3923+204.4077</f>
        <v>555.79999999999995</v>
      </c>
      <c r="F39" s="31">
        <v>638</v>
      </c>
      <c r="G39" s="31">
        <v>554</v>
      </c>
      <c r="H39" s="31">
        <v>556</v>
      </c>
      <c r="I39" s="31">
        <v>451</v>
      </c>
      <c r="J39" s="31">
        <v>451</v>
      </c>
    </row>
    <row r="40" spans="1:10" ht="40.5" customHeight="1">
      <c r="A40" s="89"/>
      <c r="B40" s="89"/>
      <c r="C40" s="6" t="s">
        <v>7</v>
      </c>
      <c r="D40" s="13" t="s">
        <v>90</v>
      </c>
      <c r="E40" s="63">
        <v>555.79999999999995</v>
      </c>
      <c r="F40" s="63">
        <v>462</v>
      </c>
      <c r="G40" s="31">
        <v>410</v>
      </c>
      <c r="H40" s="31">
        <v>440</v>
      </c>
      <c r="I40" s="31">
        <v>451</v>
      </c>
      <c r="J40" s="31">
        <v>451</v>
      </c>
    </row>
    <row r="41" spans="1:10" ht="23.25" customHeight="1">
      <c r="A41" s="87" t="s">
        <v>20</v>
      </c>
      <c r="B41" s="85" t="s">
        <v>44</v>
      </c>
      <c r="C41" s="15" t="s">
        <v>5</v>
      </c>
      <c r="D41" s="15"/>
      <c r="E41" s="45">
        <f t="shared" ref="E41:J41" si="13">E43+E44</f>
        <v>44307.330999999998</v>
      </c>
      <c r="F41" s="45">
        <f t="shared" si="13"/>
        <v>28404</v>
      </c>
      <c r="G41" s="45">
        <f t="shared" si="13"/>
        <v>16177</v>
      </c>
      <c r="H41" s="45">
        <f t="shared" si="13"/>
        <v>16177</v>
      </c>
      <c r="I41" s="45">
        <f t="shared" si="13"/>
        <v>23289.907999999999</v>
      </c>
      <c r="J41" s="45">
        <f t="shared" si="13"/>
        <v>23289.907999999999</v>
      </c>
    </row>
    <row r="42" spans="1:10" ht="22.5" customHeight="1">
      <c r="A42" s="87"/>
      <c r="B42" s="86"/>
      <c r="C42" s="6" t="s">
        <v>6</v>
      </c>
      <c r="D42" s="30"/>
      <c r="E42" s="31"/>
      <c r="F42" s="31"/>
      <c r="G42" s="31"/>
      <c r="H42" s="31"/>
      <c r="I42" s="31"/>
      <c r="J42" s="31"/>
    </row>
    <row r="43" spans="1:10" ht="22.5" customHeight="1">
      <c r="A43" s="87"/>
      <c r="B43" s="86"/>
      <c r="C43" s="40"/>
      <c r="D43" s="13" t="s">
        <v>97</v>
      </c>
      <c r="E43" s="31">
        <v>8885.7070000000003</v>
      </c>
      <c r="F43" s="31">
        <v>4314</v>
      </c>
      <c r="G43" s="31">
        <v>4350</v>
      </c>
      <c r="H43" s="31">
        <v>4350</v>
      </c>
      <c r="I43" s="31">
        <v>3872</v>
      </c>
      <c r="J43" s="31">
        <v>3872</v>
      </c>
    </row>
    <row r="44" spans="1:10" ht="22.5" customHeight="1">
      <c r="A44" s="87"/>
      <c r="B44" s="86"/>
      <c r="C44" s="40"/>
      <c r="D44" s="13"/>
      <c r="E44" s="31">
        <f>E45+E46+E47+E48+E49+E50+E51+E52+E53+E54+E55+E56+E57+E58+E59+E60+E61+E62+E63+E64</f>
        <v>35421.623999999996</v>
      </c>
      <c r="F44" s="31">
        <f>F45+F46+F47+F51+F52+F55+F58+F63+F64</f>
        <v>24090</v>
      </c>
      <c r="G44" s="31">
        <f>G45+G46+G47+G51+G52+G55+G58+G63+G64</f>
        <v>11827</v>
      </c>
      <c r="H44" s="31">
        <f>H45+H46+H47+H51+H52+H55+H58+H63+H64</f>
        <v>11827</v>
      </c>
      <c r="I44" s="31">
        <f>I45+I46+I47+I51+I50+I52+I57+I64+I63</f>
        <v>19417.907999999999</v>
      </c>
      <c r="J44" s="31">
        <f>J45+J46+J47+J51+J50+J52+J57+J64+J63</f>
        <v>19417.907999999999</v>
      </c>
    </row>
    <row r="45" spans="1:10" ht="17.25" customHeight="1">
      <c r="A45" s="87"/>
      <c r="B45" s="86"/>
      <c r="C45" s="108" t="s">
        <v>7</v>
      </c>
      <c r="D45" s="13" t="s">
        <v>98</v>
      </c>
      <c r="E45" s="31">
        <v>113.13836999999999</v>
      </c>
      <c r="F45" s="31">
        <v>120</v>
      </c>
      <c r="G45" s="31">
        <v>91.626999999999995</v>
      </c>
      <c r="H45" s="31">
        <v>91.626999999999995</v>
      </c>
      <c r="I45" s="31">
        <v>91.626999999999995</v>
      </c>
      <c r="J45" s="31">
        <v>91.626999999999995</v>
      </c>
    </row>
    <row r="46" spans="1:10" ht="19.5" customHeight="1">
      <c r="A46" s="87"/>
      <c r="B46" s="87"/>
      <c r="C46" s="114"/>
      <c r="D46" s="13" t="s">
        <v>99</v>
      </c>
      <c r="E46" s="31">
        <f>121.08712+1087.62123+84.49908+2081.66429+11771.07794</f>
        <v>15145.949659999998</v>
      </c>
      <c r="F46" s="31">
        <v>16007</v>
      </c>
      <c r="G46" s="31">
        <f>11083.139-4000+100+91.626</f>
        <v>7274.7649999999994</v>
      </c>
      <c r="H46" s="31">
        <f>11083.139-4000+100+91.626</f>
        <v>7274.7649999999994</v>
      </c>
      <c r="I46" s="31">
        <v>11083.138999999999</v>
      </c>
      <c r="J46" s="31">
        <v>11083.138999999999</v>
      </c>
    </row>
    <row r="47" spans="1:10" ht="25.5" customHeight="1">
      <c r="A47" s="87"/>
      <c r="B47" s="87"/>
      <c r="C47" s="114"/>
      <c r="D47" s="13" t="s">
        <v>100</v>
      </c>
      <c r="E47" s="31">
        <f>106.774+16.046+87.12539+10.77473+111.98023+2088.80012+129.76761+81+33.51926+359.22921+131.56338+631.74974+325+184.4658-20.12575</f>
        <v>4277.6697199999999</v>
      </c>
      <c r="F47" s="31">
        <v>455</v>
      </c>
      <c r="G47" s="31">
        <v>311.53300000000002</v>
      </c>
      <c r="H47" s="31">
        <v>311.53300000000002</v>
      </c>
      <c r="I47" s="31">
        <v>311.53300000000002</v>
      </c>
      <c r="J47" s="31">
        <v>311.53300000000002</v>
      </c>
    </row>
    <row r="48" spans="1:10" ht="25.5" customHeight="1">
      <c r="A48" s="87"/>
      <c r="B48" s="87"/>
      <c r="C48" s="114"/>
      <c r="D48" s="13" t="s">
        <v>139</v>
      </c>
      <c r="E48" s="31">
        <v>7</v>
      </c>
      <c r="F48" s="31">
        <f>E41+E25+E37</f>
        <v>147609.33100000001</v>
      </c>
      <c r="G48" s="31"/>
      <c r="H48" s="31"/>
      <c r="I48" s="31"/>
      <c r="J48" s="31"/>
    </row>
    <row r="49" spans="1:10" ht="25.5" customHeight="1">
      <c r="A49" s="87"/>
      <c r="B49" s="87"/>
      <c r="C49" s="114"/>
      <c r="D49" s="13" t="s">
        <v>139</v>
      </c>
      <c r="E49" s="31">
        <v>700</v>
      </c>
      <c r="F49" s="31">
        <f>F48-146809.331</f>
        <v>800</v>
      </c>
      <c r="G49" s="31"/>
      <c r="H49" s="31"/>
      <c r="I49" s="31"/>
      <c r="J49" s="31"/>
    </row>
    <row r="50" spans="1:10" ht="25.5" customHeight="1">
      <c r="A50" s="87"/>
      <c r="B50" s="87"/>
      <c r="C50" s="114"/>
      <c r="D50" s="13" t="s">
        <v>101</v>
      </c>
      <c r="E50" s="31"/>
      <c r="F50" s="31"/>
      <c r="G50" s="31"/>
      <c r="H50" s="31"/>
      <c r="I50" s="31"/>
      <c r="J50" s="31"/>
    </row>
    <row r="51" spans="1:10" ht="27" customHeight="1">
      <c r="A51" s="87"/>
      <c r="B51" s="87"/>
      <c r="C51" s="114"/>
      <c r="D51" s="13" t="s">
        <v>102</v>
      </c>
      <c r="E51" s="31">
        <f>37.49401+291.2+5.71+54.62282+82.55202+1164.31044+287.7+1+129.26669+1172.1857+6.55483+4.35+401.95</f>
        <v>3638.89651</v>
      </c>
      <c r="F51" s="31">
        <v>335</v>
      </c>
      <c r="G51" s="31">
        <v>227.23099999999999</v>
      </c>
      <c r="H51" s="31">
        <v>227.23099999999999</v>
      </c>
      <c r="I51" s="31">
        <v>227.23099999999999</v>
      </c>
      <c r="J51" s="31">
        <v>227.23099999999999</v>
      </c>
    </row>
    <row r="52" spans="1:10" ht="25.5" customHeight="1">
      <c r="A52" s="87"/>
      <c r="B52" s="87"/>
      <c r="C52" s="114"/>
      <c r="D52" s="13" t="s">
        <v>176</v>
      </c>
      <c r="E52" s="31"/>
      <c r="F52" s="31">
        <v>170</v>
      </c>
      <c r="G52" s="31">
        <v>50</v>
      </c>
      <c r="H52" s="31">
        <v>50</v>
      </c>
      <c r="I52" s="31">
        <v>50</v>
      </c>
      <c r="J52" s="31">
        <v>50</v>
      </c>
    </row>
    <row r="53" spans="1:10" ht="25.5" customHeight="1">
      <c r="A53" s="87"/>
      <c r="B53" s="87"/>
      <c r="C53" s="114"/>
      <c r="D53" s="13" t="s">
        <v>137</v>
      </c>
      <c r="E53" s="31">
        <v>4.3017500000000002</v>
      </c>
      <c r="F53" s="31"/>
      <c r="G53" s="31"/>
      <c r="H53" s="31"/>
      <c r="I53" s="31"/>
      <c r="J53" s="31"/>
    </row>
    <row r="54" spans="1:10" ht="25.5" customHeight="1">
      <c r="A54" s="87"/>
      <c r="B54" s="87"/>
      <c r="C54" s="114"/>
      <c r="D54" s="13" t="s">
        <v>138</v>
      </c>
      <c r="E54" s="31">
        <v>5.85</v>
      </c>
      <c r="F54" s="31"/>
      <c r="G54" s="31"/>
      <c r="H54" s="31"/>
      <c r="I54" s="31"/>
      <c r="J54" s="31"/>
    </row>
    <row r="55" spans="1:10" ht="25.5" customHeight="1">
      <c r="A55" s="87"/>
      <c r="B55" s="87"/>
      <c r="C55" s="114"/>
      <c r="D55" s="13" t="s">
        <v>134</v>
      </c>
      <c r="E55" s="31">
        <v>47</v>
      </c>
      <c r="F55" s="31">
        <v>54</v>
      </c>
      <c r="G55" s="31">
        <v>27</v>
      </c>
      <c r="H55" s="31">
        <v>27</v>
      </c>
      <c r="I55" s="31"/>
      <c r="J55" s="31"/>
    </row>
    <row r="56" spans="1:10" ht="25.5" customHeight="1">
      <c r="A56" s="87"/>
      <c r="B56" s="87"/>
      <c r="C56" s="114"/>
      <c r="D56" s="13" t="s">
        <v>137</v>
      </c>
      <c r="E56" s="31">
        <v>100</v>
      </c>
      <c r="F56" s="31"/>
      <c r="G56" s="31"/>
      <c r="H56" s="31"/>
      <c r="I56" s="31"/>
      <c r="J56" s="31"/>
    </row>
    <row r="57" spans="1:10" ht="25.5" customHeight="1">
      <c r="A57" s="87"/>
      <c r="B57" s="87"/>
      <c r="C57" s="114"/>
      <c r="D57" s="13" t="s">
        <v>103</v>
      </c>
      <c r="E57" s="31">
        <v>397.58100000000002</v>
      </c>
      <c r="F57" s="31"/>
      <c r="G57" s="31"/>
      <c r="H57" s="31"/>
      <c r="I57" s="31">
        <v>1447.155</v>
      </c>
      <c r="J57" s="31">
        <v>1447.155</v>
      </c>
    </row>
    <row r="58" spans="1:10" ht="25.5" customHeight="1">
      <c r="A58" s="87"/>
      <c r="B58" s="87"/>
      <c r="C58" s="114"/>
      <c r="D58" s="13" t="s">
        <v>132</v>
      </c>
      <c r="E58" s="31">
        <v>1139.6869999999999</v>
      </c>
      <c r="F58" s="31">
        <v>1531</v>
      </c>
      <c r="G58" s="31">
        <v>500</v>
      </c>
      <c r="H58" s="31">
        <v>500</v>
      </c>
      <c r="I58" s="31"/>
      <c r="J58" s="31"/>
    </row>
    <row r="59" spans="1:10" ht="25.5" customHeight="1">
      <c r="A59" s="87"/>
      <c r="B59" s="87"/>
      <c r="C59" s="114"/>
      <c r="D59" s="13" t="s">
        <v>135</v>
      </c>
      <c r="E59" s="31">
        <v>42.704999999999998</v>
      </c>
      <c r="F59" s="31"/>
      <c r="G59" s="31"/>
      <c r="H59" s="31"/>
      <c r="I59" s="31"/>
      <c r="J59" s="31"/>
    </row>
    <row r="60" spans="1:10" ht="25.5" customHeight="1">
      <c r="A60" s="87"/>
      <c r="B60" s="87"/>
      <c r="C60" s="114"/>
      <c r="D60" s="13" t="s">
        <v>136</v>
      </c>
      <c r="E60" s="31">
        <v>3.3791799999999999</v>
      </c>
      <c r="F60" s="31"/>
      <c r="G60" s="31"/>
      <c r="H60" s="31"/>
      <c r="I60" s="31"/>
      <c r="J60" s="31"/>
    </row>
    <row r="61" spans="1:10" ht="25.5" customHeight="1">
      <c r="A61" s="87"/>
      <c r="B61" s="87"/>
      <c r="C61" s="114"/>
      <c r="D61" s="13" t="s">
        <v>144</v>
      </c>
      <c r="E61" s="31">
        <v>120</v>
      </c>
      <c r="F61" s="31"/>
      <c r="G61" s="31"/>
      <c r="H61" s="31"/>
      <c r="I61" s="31"/>
      <c r="J61" s="31"/>
    </row>
    <row r="62" spans="1:10" ht="25.5" customHeight="1">
      <c r="A62" s="87"/>
      <c r="B62" s="87"/>
      <c r="C62" s="114"/>
      <c r="D62" s="13" t="s">
        <v>133</v>
      </c>
      <c r="E62" s="31">
        <f>336.482+133.434+125</f>
        <v>594.91600000000005</v>
      </c>
      <c r="F62" s="31"/>
      <c r="G62" s="31"/>
      <c r="H62" s="31"/>
      <c r="I62" s="31"/>
      <c r="J62" s="31"/>
    </row>
    <row r="63" spans="1:10" ht="25.5" customHeight="1">
      <c r="A63" s="87"/>
      <c r="B63" s="87"/>
      <c r="C63" s="114"/>
      <c r="D63" s="13" t="s">
        <v>151</v>
      </c>
      <c r="E63" s="31">
        <v>100</v>
      </c>
      <c r="F63" s="31">
        <v>100</v>
      </c>
      <c r="G63" s="31">
        <v>100</v>
      </c>
      <c r="H63" s="31">
        <v>100</v>
      </c>
      <c r="I63" s="31">
        <v>100</v>
      </c>
      <c r="J63" s="31">
        <v>100</v>
      </c>
    </row>
    <row r="64" spans="1:10" ht="30" customHeight="1">
      <c r="A64" s="87"/>
      <c r="B64" s="87"/>
      <c r="C64" s="114"/>
      <c r="D64" s="13" t="s">
        <v>104</v>
      </c>
      <c r="E64" s="31">
        <f>1812.00414+135.189+2552.4735+219.96+1742.79517+224.995+48.398+1.531+263.354+1967.85+15</f>
        <v>8983.5498100000004</v>
      </c>
      <c r="F64" s="31">
        <v>5318</v>
      </c>
      <c r="G64" s="31">
        <v>3244.8440000000001</v>
      </c>
      <c r="H64" s="31">
        <v>3244.8440000000001</v>
      </c>
      <c r="I64" s="31">
        <v>6107.223</v>
      </c>
      <c r="J64" s="31">
        <v>6107.223</v>
      </c>
    </row>
    <row r="65" spans="1:10" ht="19.5" customHeight="1">
      <c r="A65" s="87"/>
      <c r="B65" s="85" t="s">
        <v>44</v>
      </c>
      <c r="C65" s="15" t="s">
        <v>5</v>
      </c>
      <c r="D65" s="15"/>
      <c r="E65" s="45">
        <f>E67+E68+E69+E70+E71+E72+E73+E74+E75+E76+E77+E79+E78</f>
        <v>13929.365709999998</v>
      </c>
      <c r="F65" s="45">
        <f>F67+F68+F69+F70+F71+F72+F75+F79</f>
        <v>13544</v>
      </c>
      <c r="G65" s="45">
        <f>G67+G68+G69+G70+G71+G72+G74+G79</f>
        <v>7395</v>
      </c>
      <c r="H65" s="45">
        <f>H67+H68+H69+H70+H71+H72+H74+H79</f>
        <v>8395</v>
      </c>
      <c r="I65" s="45">
        <f>I67+I68+I69+I70+I71+I72+I74+I79</f>
        <v>7856.2729999999992</v>
      </c>
      <c r="J65" s="45">
        <f>J67+J68+J69+J70+J71+J72+J74+J79</f>
        <v>7856.2729999999992</v>
      </c>
    </row>
    <row r="66" spans="1:10" ht="28.5" customHeight="1">
      <c r="A66" s="87"/>
      <c r="B66" s="86"/>
      <c r="C66" s="6" t="s">
        <v>6</v>
      </c>
      <c r="D66" s="21"/>
      <c r="E66" s="31"/>
      <c r="F66" s="31"/>
      <c r="G66" s="31"/>
      <c r="H66" s="31"/>
      <c r="I66" s="31"/>
      <c r="J66" s="31"/>
    </row>
    <row r="67" spans="1:10" ht="22.5" customHeight="1">
      <c r="A67" s="87"/>
      <c r="B67" s="86"/>
      <c r="C67" s="40"/>
      <c r="D67" s="13" t="s">
        <v>105</v>
      </c>
      <c r="E67" s="31">
        <v>4381.3958300000004</v>
      </c>
      <c r="F67" s="31">
        <f>'[1]3квар'!$M$35/1000</f>
        <v>4732.8</v>
      </c>
      <c r="G67" s="31">
        <v>4912</v>
      </c>
      <c r="H67" s="31">
        <v>4912</v>
      </c>
      <c r="I67" s="31">
        <v>4256</v>
      </c>
      <c r="J67" s="31">
        <v>4256</v>
      </c>
    </row>
    <row r="68" spans="1:10" ht="15" customHeight="1">
      <c r="A68" s="87"/>
      <c r="B68" s="86"/>
      <c r="C68" s="108" t="s">
        <v>7</v>
      </c>
      <c r="D68" s="13" t="s">
        <v>106</v>
      </c>
      <c r="E68" s="31">
        <v>1454.6041700000001</v>
      </c>
      <c r="F68" s="31">
        <f>'[1]3квар'!$M$36/1000+500</f>
        <v>1662.2</v>
      </c>
      <c r="G68" s="31">
        <v>1483</v>
      </c>
      <c r="H68" s="31">
        <v>1483</v>
      </c>
      <c r="I68" s="31">
        <v>1208</v>
      </c>
      <c r="J68" s="31">
        <v>1208</v>
      </c>
    </row>
    <row r="69" spans="1:10" ht="24" customHeight="1">
      <c r="A69" s="87"/>
      <c r="B69" s="87"/>
      <c r="C69" s="114"/>
      <c r="D69" s="13" t="s">
        <v>107</v>
      </c>
      <c r="E69" s="31">
        <v>26.136019999999998</v>
      </c>
      <c r="F69" s="31">
        <v>25</v>
      </c>
      <c r="G69" s="31">
        <v>25</v>
      </c>
      <c r="H69" s="31">
        <v>25</v>
      </c>
      <c r="I69" s="31">
        <v>25.530999999999999</v>
      </c>
      <c r="J69" s="31">
        <v>25.530999999999999</v>
      </c>
    </row>
    <row r="70" spans="1:10" ht="18" customHeight="1">
      <c r="A70" s="87"/>
      <c r="B70" s="87"/>
      <c r="C70" s="114"/>
      <c r="D70" s="13" t="s">
        <v>108</v>
      </c>
      <c r="E70" s="31">
        <f>62.05171+612.97415+44.8547+1125.6343+533.6883</f>
        <v>2379.20316</v>
      </c>
      <c r="F70" s="31">
        <f>155+2543</f>
        <v>2698</v>
      </c>
      <c r="G70" s="31">
        <v>400</v>
      </c>
      <c r="H70" s="31">
        <v>830</v>
      </c>
      <c r="I70" s="31">
        <v>930.12099999999998</v>
      </c>
      <c r="J70" s="31">
        <v>930.12099999999998</v>
      </c>
    </row>
    <row r="71" spans="1:10" ht="20.25" customHeight="1">
      <c r="A71" s="87"/>
      <c r="B71" s="87"/>
      <c r="C71" s="114"/>
      <c r="D71" s="13" t="s">
        <v>109</v>
      </c>
      <c r="E71" s="31">
        <f>10.52067+1.14861+8.142+68.15618+142.396+3.60769+75.68547</f>
        <v>309.65661999999998</v>
      </c>
      <c r="F71" s="31">
        <v>110</v>
      </c>
      <c r="G71" s="31">
        <v>50</v>
      </c>
      <c r="H71" s="31">
        <v>100</v>
      </c>
      <c r="I71" s="31">
        <v>37.448999999999998</v>
      </c>
      <c r="J71" s="31">
        <v>37.448999999999998</v>
      </c>
    </row>
    <row r="72" spans="1:10" ht="21" customHeight="1">
      <c r="A72" s="87"/>
      <c r="B72" s="87"/>
      <c r="C72" s="114"/>
      <c r="D72" s="13" t="s">
        <v>110</v>
      </c>
      <c r="E72" s="31">
        <f>53.2+130.92319+24.08155+220.16776+100+25.942</f>
        <v>554.31449999999995</v>
      </c>
      <c r="F72" s="31">
        <v>353</v>
      </c>
      <c r="G72" s="31">
        <v>115</v>
      </c>
      <c r="H72" s="31">
        <v>225</v>
      </c>
      <c r="I72" s="31">
        <v>42.554000000000002</v>
      </c>
      <c r="J72" s="31">
        <v>42.554000000000002</v>
      </c>
    </row>
    <row r="73" spans="1:10" ht="21" customHeight="1">
      <c r="A73" s="87"/>
      <c r="B73" s="87"/>
      <c r="C73" s="114"/>
      <c r="D73" s="13" t="s">
        <v>140</v>
      </c>
      <c r="E73" s="31">
        <v>70</v>
      </c>
      <c r="F73" s="31"/>
      <c r="G73" s="31"/>
      <c r="H73" s="31"/>
      <c r="I73" s="31"/>
      <c r="J73" s="31"/>
    </row>
    <row r="74" spans="1:10" ht="15.75" customHeight="1">
      <c r="A74" s="87"/>
      <c r="B74" s="87"/>
      <c r="C74" s="114"/>
      <c r="D74" s="13" t="s">
        <v>111</v>
      </c>
      <c r="E74" s="31">
        <v>121.386</v>
      </c>
      <c r="F74" s="31"/>
      <c r="G74" s="31">
        <v>0</v>
      </c>
      <c r="H74" s="31">
        <v>0</v>
      </c>
      <c r="I74" s="31">
        <v>0</v>
      </c>
      <c r="J74" s="31">
        <v>0</v>
      </c>
    </row>
    <row r="75" spans="1:10" ht="15.75" customHeight="1">
      <c r="A75" s="87"/>
      <c r="B75" s="87"/>
      <c r="C75" s="114"/>
      <c r="D75" s="13" t="s">
        <v>141</v>
      </c>
      <c r="E75" s="31">
        <v>360.238</v>
      </c>
      <c r="F75" s="31">
        <v>300</v>
      </c>
      <c r="G75" s="31"/>
      <c r="H75" s="31"/>
      <c r="I75" s="31"/>
      <c r="J75" s="31"/>
    </row>
    <row r="76" spans="1:10" ht="15.75" customHeight="1">
      <c r="A76" s="87"/>
      <c r="B76" s="87"/>
      <c r="C76" s="114"/>
      <c r="D76" s="13" t="s">
        <v>142</v>
      </c>
      <c r="E76" s="31">
        <v>2.60623</v>
      </c>
      <c r="F76" s="31"/>
      <c r="G76" s="31"/>
      <c r="H76" s="31"/>
      <c r="I76" s="31"/>
      <c r="J76" s="31"/>
    </row>
    <row r="77" spans="1:10" ht="15.75" customHeight="1">
      <c r="A77" s="87"/>
      <c r="B77" s="87"/>
      <c r="C77" s="114"/>
      <c r="D77" s="13" t="s">
        <v>143</v>
      </c>
      <c r="E77" s="31">
        <v>8.7675999999999998</v>
      </c>
      <c r="F77" s="31"/>
      <c r="G77" s="31"/>
      <c r="H77" s="31"/>
      <c r="I77" s="31"/>
      <c r="J77" s="31"/>
    </row>
    <row r="78" spans="1:10" ht="15.75" customHeight="1">
      <c r="A78" s="87"/>
      <c r="B78" s="87"/>
      <c r="C78" s="114"/>
      <c r="D78" s="13" t="s">
        <v>145</v>
      </c>
      <c r="E78" s="31">
        <f>42+20+25</f>
        <v>87</v>
      </c>
      <c r="F78" s="31"/>
      <c r="G78" s="31"/>
      <c r="H78" s="31"/>
      <c r="I78" s="31"/>
      <c r="J78" s="31"/>
    </row>
    <row r="79" spans="1:10" ht="21" customHeight="1">
      <c r="A79" s="88"/>
      <c r="B79" s="88"/>
      <c r="C79" s="119"/>
      <c r="D79" s="13" t="s">
        <v>112</v>
      </c>
      <c r="E79" s="31">
        <f>587.805+1633.95958+18.422+87.871+1816+16.8+13.2</f>
        <v>4174.0575800000006</v>
      </c>
      <c r="F79" s="31">
        <v>3663</v>
      </c>
      <c r="G79" s="31">
        <f>500-90</f>
        <v>410</v>
      </c>
      <c r="H79" s="31">
        <v>820</v>
      </c>
      <c r="I79" s="31">
        <v>1356.6179999999999</v>
      </c>
      <c r="J79" s="31">
        <v>1356.6179999999999</v>
      </c>
    </row>
    <row r="80" spans="1:10" ht="21" customHeight="1">
      <c r="A80" s="92" t="s">
        <v>21</v>
      </c>
      <c r="B80" s="89" t="s">
        <v>22</v>
      </c>
      <c r="C80" s="19" t="s">
        <v>5</v>
      </c>
      <c r="D80" s="19"/>
      <c r="E80" s="64">
        <f>E82</f>
        <v>931.7152000000001</v>
      </c>
      <c r="F80" s="64">
        <f>F82</f>
        <v>1283.7</v>
      </c>
      <c r="G80" s="64">
        <f>G82+G90</f>
        <v>1032.9000000000001</v>
      </c>
      <c r="H80" s="64">
        <f>H82+H90</f>
        <v>1039.2</v>
      </c>
      <c r="I80" s="64">
        <f>I82+I90</f>
        <v>194</v>
      </c>
      <c r="J80" s="64">
        <f>J82+J90</f>
        <v>194</v>
      </c>
    </row>
    <row r="81" spans="1:10" ht="30" customHeight="1">
      <c r="A81" s="92"/>
      <c r="B81" s="89"/>
      <c r="C81" s="11" t="s">
        <v>11</v>
      </c>
      <c r="D81" s="11"/>
      <c r="E81" s="63"/>
      <c r="F81" s="63"/>
      <c r="G81" s="48"/>
      <c r="H81" s="63"/>
      <c r="I81" s="63"/>
      <c r="J81" s="63"/>
    </row>
    <row r="82" spans="1:10" ht="21" customHeight="1">
      <c r="A82" s="92"/>
      <c r="B82" s="89"/>
      <c r="C82" s="11" t="s">
        <v>12</v>
      </c>
      <c r="D82" s="11"/>
      <c r="E82" s="48">
        <f>E84+E85+E86+E88+E89+E90</f>
        <v>931.7152000000001</v>
      </c>
      <c r="F82" s="48">
        <f>F84+F85+F86+F89+F90+F87</f>
        <v>1283.7</v>
      </c>
      <c r="G82" s="48">
        <f>G84+G85+G86+G88+G89</f>
        <v>282</v>
      </c>
      <c r="H82" s="48">
        <f>H84+H85+H86+H88+H89</f>
        <v>286</v>
      </c>
      <c r="I82" s="48">
        <f>I84+I85+I86+I88+I89</f>
        <v>194</v>
      </c>
      <c r="J82" s="48">
        <f>J84+J85+J86+J88+J89</f>
        <v>194</v>
      </c>
    </row>
    <row r="83" spans="1:10" ht="21" customHeight="1">
      <c r="A83" s="92"/>
      <c r="B83" s="89"/>
      <c r="C83" s="12" t="s">
        <v>6</v>
      </c>
      <c r="D83" s="12"/>
      <c r="E83" s="63"/>
      <c r="F83" s="63"/>
      <c r="G83" s="62"/>
      <c r="H83" s="62"/>
      <c r="I83" s="62"/>
      <c r="J83" s="62"/>
    </row>
    <row r="84" spans="1:10" ht="21" customHeight="1">
      <c r="A84" s="92"/>
      <c r="B84" s="89"/>
      <c r="C84" s="108" t="s">
        <v>7</v>
      </c>
      <c r="D84" s="6" t="s">
        <v>146</v>
      </c>
      <c r="E84" s="48">
        <f>6.09135+31.08651</f>
        <v>37.177860000000003</v>
      </c>
      <c r="F84" s="48">
        <v>50</v>
      </c>
      <c r="G84" s="48">
        <v>33.316000000000003</v>
      </c>
      <c r="H84" s="48">
        <v>33.316000000000003</v>
      </c>
      <c r="I84" s="48">
        <v>33.316000000000003</v>
      </c>
      <c r="J84" s="48">
        <v>33.316000000000003</v>
      </c>
    </row>
    <row r="85" spans="1:10" ht="21" customHeight="1">
      <c r="A85" s="92"/>
      <c r="B85" s="89"/>
      <c r="C85" s="114"/>
      <c r="D85" s="6" t="s">
        <v>147</v>
      </c>
      <c r="E85" s="48">
        <f>23.357+23.2</f>
        <v>46.557000000000002</v>
      </c>
      <c r="F85" s="48">
        <v>5</v>
      </c>
      <c r="G85" s="48">
        <v>5</v>
      </c>
      <c r="H85" s="48">
        <v>5</v>
      </c>
      <c r="I85" s="48"/>
      <c r="J85" s="48"/>
    </row>
    <row r="86" spans="1:10" ht="21" customHeight="1">
      <c r="A86" s="92"/>
      <c r="B86" s="89"/>
      <c r="C86" s="109"/>
      <c r="D86" s="6" t="s">
        <v>148</v>
      </c>
      <c r="E86" s="48">
        <v>26.615200000000002</v>
      </c>
      <c r="F86" s="48">
        <v>100</v>
      </c>
      <c r="G86" s="48">
        <v>103</v>
      </c>
      <c r="H86" s="48">
        <v>107</v>
      </c>
      <c r="I86" s="48">
        <v>40</v>
      </c>
      <c r="J86" s="48">
        <v>40</v>
      </c>
    </row>
    <row r="87" spans="1:10" ht="21" customHeight="1">
      <c r="A87" s="92"/>
      <c r="B87" s="89"/>
      <c r="C87" s="109"/>
      <c r="D87" s="6" t="s">
        <v>177</v>
      </c>
      <c r="E87" s="48"/>
      <c r="F87" s="48">
        <v>40</v>
      </c>
      <c r="G87" s="48"/>
      <c r="H87" s="48"/>
      <c r="I87" s="48"/>
      <c r="J87" s="48"/>
    </row>
    <row r="88" spans="1:10" ht="21" customHeight="1">
      <c r="A88" s="92"/>
      <c r="B88" s="89"/>
      <c r="C88" s="109"/>
      <c r="D88" s="6" t="s">
        <v>146</v>
      </c>
      <c r="E88" s="48">
        <f>56+69.82714+26.891</f>
        <v>152.71814000000001</v>
      </c>
      <c r="F88" s="48"/>
      <c r="G88" s="48">
        <v>120.684</v>
      </c>
      <c r="H88" s="48">
        <v>120.684</v>
      </c>
      <c r="I88" s="48">
        <v>120.684</v>
      </c>
      <c r="J88" s="48">
        <v>120.684</v>
      </c>
    </row>
    <row r="89" spans="1:10" ht="28.5" customHeight="1">
      <c r="A89" s="92"/>
      <c r="B89" s="89"/>
      <c r="C89" s="110"/>
      <c r="D89" s="6" t="s">
        <v>149</v>
      </c>
      <c r="E89" s="48">
        <f>6.747+6.92325</f>
        <v>13.670249999999999</v>
      </c>
      <c r="F89" s="48">
        <v>16</v>
      </c>
      <c r="G89" s="48">
        <v>20</v>
      </c>
      <c r="H89" s="48">
        <v>20</v>
      </c>
      <c r="I89" s="48"/>
      <c r="J89" s="48"/>
    </row>
    <row r="90" spans="1:10" ht="28.5" customHeight="1">
      <c r="A90" s="71"/>
      <c r="B90" s="70"/>
      <c r="C90" s="72"/>
      <c r="D90" s="6" t="s">
        <v>150</v>
      </c>
      <c r="E90" s="48">
        <f>180+62.0678+0.025+388.94395+23.94</f>
        <v>654.97675000000004</v>
      </c>
      <c r="F90" s="48">
        <f>768.7+114+190</f>
        <v>1072.7</v>
      </c>
      <c r="G90" s="48">
        <f>514.9+190+46</f>
        <v>750.9</v>
      </c>
      <c r="H90" s="48">
        <f>517.2+190+46</f>
        <v>753.2</v>
      </c>
      <c r="I90" s="48"/>
      <c r="J90" s="48"/>
    </row>
    <row r="91" spans="1:10">
      <c r="A91" s="89" t="s">
        <v>10</v>
      </c>
      <c r="B91" s="89" t="s">
        <v>41</v>
      </c>
      <c r="C91" s="18" t="s">
        <v>5</v>
      </c>
      <c r="D91" s="18"/>
      <c r="E91" s="36">
        <f t="shared" ref="E91:J91" si="14">E96+E98</f>
        <v>14275.528</v>
      </c>
      <c r="F91" s="36">
        <f t="shared" si="14"/>
        <v>13918</v>
      </c>
      <c r="G91" s="36">
        <f t="shared" si="14"/>
        <v>13659</v>
      </c>
      <c r="H91" s="36">
        <f t="shared" si="14"/>
        <v>13659</v>
      </c>
      <c r="I91" s="36">
        <f t="shared" si="14"/>
        <v>11984.7</v>
      </c>
      <c r="J91" s="36">
        <f t="shared" si="14"/>
        <v>11984.7</v>
      </c>
    </row>
    <row r="92" spans="1:10">
      <c r="A92" s="89"/>
      <c r="B92" s="89"/>
      <c r="C92" s="6" t="s">
        <v>6</v>
      </c>
      <c r="D92" s="6"/>
      <c r="E92" s="63"/>
      <c r="F92" s="63"/>
      <c r="G92" s="31"/>
      <c r="H92" s="63"/>
      <c r="I92" s="63"/>
      <c r="J92" s="63"/>
    </row>
    <row r="93" spans="1:10" ht="45">
      <c r="A93" s="89"/>
      <c r="B93" s="89"/>
      <c r="C93" s="6" t="s">
        <v>7</v>
      </c>
      <c r="D93" s="6"/>
      <c r="E93" s="31"/>
      <c r="F93" s="31"/>
      <c r="G93" s="31"/>
      <c r="H93" s="31"/>
      <c r="I93" s="31"/>
      <c r="J93" s="31"/>
    </row>
    <row r="94" spans="1:10" ht="15.75" customHeight="1">
      <c r="A94" s="85" t="s">
        <v>26</v>
      </c>
      <c r="B94" s="85" t="s">
        <v>25</v>
      </c>
      <c r="C94" s="6" t="s">
        <v>5</v>
      </c>
      <c r="D94" s="6"/>
      <c r="E94" s="31"/>
      <c r="F94" s="31"/>
      <c r="G94" s="31"/>
      <c r="H94" s="31"/>
      <c r="I94" s="31"/>
      <c r="J94" s="31"/>
    </row>
    <row r="95" spans="1:10">
      <c r="A95" s="93"/>
      <c r="B95" s="86"/>
      <c r="C95" s="6" t="s">
        <v>6</v>
      </c>
      <c r="D95" s="6"/>
      <c r="E95" s="63"/>
      <c r="F95" s="63"/>
      <c r="G95" s="31"/>
      <c r="H95" s="63"/>
      <c r="I95" s="63"/>
      <c r="J95" s="63"/>
    </row>
    <row r="96" spans="1:10">
      <c r="A96" s="93"/>
      <c r="B96" s="86"/>
      <c r="C96" s="40"/>
      <c r="D96" s="9" t="s">
        <v>162</v>
      </c>
      <c r="E96" s="63">
        <v>8696.1650000000009</v>
      </c>
      <c r="F96" s="63">
        <v>8602</v>
      </c>
      <c r="G96" s="31">
        <v>8602</v>
      </c>
      <c r="H96" s="31">
        <v>8602</v>
      </c>
      <c r="I96" s="31">
        <v>7549</v>
      </c>
      <c r="J96" s="31">
        <v>7549</v>
      </c>
    </row>
    <row r="97" spans="1:10">
      <c r="A97" s="93"/>
      <c r="B97" s="86"/>
      <c r="C97" s="40"/>
      <c r="D97" s="9"/>
      <c r="E97" s="63"/>
      <c r="F97" s="63"/>
      <c r="G97" s="31"/>
      <c r="H97" s="31"/>
      <c r="I97" s="31"/>
      <c r="J97" s="31"/>
    </row>
    <row r="98" spans="1:10">
      <c r="A98" s="93"/>
      <c r="B98" s="86"/>
      <c r="C98" s="40"/>
      <c r="D98" s="9"/>
      <c r="E98" s="31">
        <f>E99+E100+E101+E102+E103+E104+E105+E106+E107+E109+E108</f>
        <v>5579.3629999999994</v>
      </c>
      <c r="F98" s="31">
        <f t="shared" ref="F98:J98" si="15">F99+F100+F101+F102+F103+F104+F105+F109</f>
        <v>5316</v>
      </c>
      <c r="G98" s="31">
        <f t="shared" si="15"/>
        <v>5057</v>
      </c>
      <c r="H98" s="31">
        <f t="shared" si="15"/>
        <v>5057</v>
      </c>
      <c r="I98" s="31">
        <f t="shared" si="15"/>
        <v>4435.7</v>
      </c>
      <c r="J98" s="31">
        <f t="shared" si="15"/>
        <v>4435.7</v>
      </c>
    </row>
    <row r="99" spans="1:10" ht="24.75" customHeight="1">
      <c r="A99" s="93"/>
      <c r="B99" s="86"/>
      <c r="C99" s="108" t="s">
        <v>7</v>
      </c>
      <c r="D99" s="9" t="s">
        <v>152</v>
      </c>
      <c r="E99" s="31">
        <v>3280.1482500000002</v>
      </c>
      <c r="F99" s="31">
        <f>'[2]годовая '!$M$24/1000</f>
        <v>2955</v>
      </c>
      <c r="G99" s="31">
        <v>3039</v>
      </c>
      <c r="H99" s="31">
        <v>3039</v>
      </c>
      <c r="I99" s="31">
        <v>2761</v>
      </c>
      <c r="J99" s="31">
        <v>2761</v>
      </c>
    </row>
    <row r="100" spans="1:10" ht="18.75" customHeight="1">
      <c r="A100" s="87"/>
      <c r="B100" s="103"/>
      <c r="C100" s="109"/>
      <c r="D100" s="9" t="s">
        <v>153</v>
      </c>
      <c r="E100" s="31">
        <v>1131.85175</v>
      </c>
      <c r="F100" s="31">
        <f>'[2]годовая '!$M$25/1000</f>
        <v>1002</v>
      </c>
      <c r="G100" s="31">
        <v>918</v>
      </c>
      <c r="H100" s="31">
        <v>918</v>
      </c>
      <c r="I100" s="31">
        <v>784</v>
      </c>
      <c r="J100" s="31">
        <v>784</v>
      </c>
    </row>
    <row r="101" spans="1:10">
      <c r="A101" s="87"/>
      <c r="B101" s="103"/>
      <c r="C101" s="109"/>
      <c r="D101" s="9" t="s">
        <v>154</v>
      </c>
      <c r="E101" s="31">
        <v>8.4690600000000007</v>
      </c>
      <c r="F101" s="31">
        <f>'[2]годовая '!$M$26/1000</f>
        <v>43</v>
      </c>
      <c r="G101" s="31">
        <v>18.5</v>
      </c>
      <c r="H101" s="31">
        <v>18.5</v>
      </c>
      <c r="I101" s="31">
        <v>18.5</v>
      </c>
      <c r="J101" s="31">
        <v>18.5</v>
      </c>
    </row>
    <row r="102" spans="1:10" ht="25.5" customHeight="1">
      <c r="A102" s="87"/>
      <c r="B102" s="103"/>
      <c r="C102" s="109"/>
      <c r="D102" s="9" t="s">
        <v>155</v>
      </c>
      <c r="E102" s="31">
        <f>4.9213+3.5943+437.97759+26.58297</f>
        <v>473.07616000000002</v>
      </c>
      <c r="F102" s="31">
        <v>552</v>
      </c>
      <c r="G102" s="31">
        <v>552</v>
      </c>
      <c r="H102" s="31">
        <v>552</v>
      </c>
      <c r="I102" s="31">
        <v>405.15</v>
      </c>
      <c r="J102" s="31">
        <v>405.15</v>
      </c>
    </row>
    <row r="103" spans="1:10" ht="19.5" customHeight="1">
      <c r="A103" s="87"/>
      <c r="B103" s="103"/>
      <c r="C103" s="109"/>
      <c r="D103" s="9" t="s">
        <v>156</v>
      </c>
      <c r="E103" s="31">
        <f>8.75033+6.372+35.03+148.079+0.27+15.63108</f>
        <v>214.13241000000002</v>
      </c>
      <c r="F103" s="31">
        <v>216</v>
      </c>
      <c r="G103" s="31">
        <f>216-18.5</f>
        <v>197.5</v>
      </c>
      <c r="H103" s="31">
        <f>216-18.5</f>
        <v>197.5</v>
      </c>
      <c r="I103" s="31">
        <v>135.05000000000001</v>
      </c>
      <c r="J103" s="31">
        <v>135.05000000000001</v>
      </c>
    </row>
    <row r="104" spans="1:10" ht="19.5" customHeight="1">
      <c r="A104" s="87"/>
      <c r="B104" s="103"/>
      <c r="C104" s="109"/>
      <c r="D104" s="9" t="s">
        <v>157</v>
      </c>
      <c r="E104" s="31">
        <f>35.9+288.0693+50+16.4</f>
        <v>390.36929999999995</v>
      </c>
      <c r="F104" s="31">
        <v>527</v>
      </c>
      <c r="G104" s="31">
        <v>285.52499999999998</v>
      </c>
      <c r="H104" s="31">
        <v>285.52499999999998</v>
      </c>
      <c r="I104" s="31">
        <v>285.52499999999998</v>
      </c>
      <c r="J104" s="31">
        <v>285.52499999999998</v>
      </c>
    </row>
    <row r="105" spans="1:10" ht="28.5" customHeight="1">
      <c r="A105" s="87"/>
      <c r="B105" s="103"/>
      <c r="C105" s="109"/>
      <c r="D105" s="9" t="s">
        <v>158</v>
      </c>
      <c r="E105" s="31">
        <v>3.6150000000000002</v>
      </c>
      <c r="F105" s="31">
        <v>13</v>
      </c>
      <c r="G105" s="31">
        <v>40</v>
      </c>
      <c r="H105" s="31">
        <v>40</v>
      </c>
      <c r="I105" s="31">
        <v>40</v>
      </c>
      <c r="J105" s="31">
        <v>40</v>
      </c>
    </row>
    <row r="106" spans="1:10" ht="25.5" customHeight="1">
      <c r="A106" s="87"/>
      <c r="B106" s="103"/>
      <c r="C106" s="109"/>
      <c r="D106" s="9" t="s">
        <v>159</v>
      </c>
      <c r="E106" s="31">
        <v>19.596</v>
      </c>
      <c r="F106" s="31"/>
      <c r="G106" s="31"/>
      <c r="H106" s="31"/>
      <c r="I106" s="31"/>
      <c r="J106" s="31"/>
    </row>
    <row r="107" spans="1:10" ht="23.25" customHeight="1">
      <c r="A107" s="87"/>
      <c r="B107" s="103"/>
      <c r="C107" s="109"/>
      <c r="D107" s="9" t="s">
        <v>160</v>
      </c>
      <c r="E107" s="31">
        <v>0.40906999999999999</v>
      </c>
      <c r="F107" s="31"/>
      <c r="G107" s="31"/>
      <c r="H107" s="31"/>
      <c r="I107" s="31"/>
      <c r="J107" s="31"/>
    </row>
    <row r="108" spans="1:10" ht="16.5" customHeight="1">
      <c r="A108" s="87"/>
      <c r="B108" s="103"/>
      <c r="C108" s="109"/>
      <c r="D108" s="9" t="s">
        <v>175</v>
      </c>
      <c r="E108" s="31">
        <v>40</v>
      </c>
      <c r="F108" s="31"/>
      <c r="G108" s="31"/>
      <c r="H108" s="31"/>
      <c r="I108" s="31"/>
      <c r="J108" s="31"/>
    </row>
    <row r="109" spans="1:10" ht="19.5" customHeight="1">
      <c r="A109" s="88"/>
      <c r="B109" s="104"/>
      <c r="C109" s="110"/>
      <c r="D109" s="9" t="s">
        <v>161</v>
      </c>
      <c r="E109" s="31">
        <f>10.396+7.3</f>
        <v>17.696000000000002</v>
      </c>
      <c r="F109" s="31">
        <v>8</v>
      </c>
      <c r="G109" s="31">
        <v>6.4749999999999996</v>
      </c>
      <c r="H109" s="31">
        <v>6.4749999999999996</v>
      </c>
      <c r="I109" s="31">
        <v>6.4749999999999996</v>
      </c>
      <c r="J109" s="31">
        <v>6.4749999999999996</v>
      </c>
    </row>
    <row r="110" spans="1:10" ht="21.75" customHeight="1">
      <c r="A110" s="89" t="s">
        <v>14</v>
      </c>
      <c r="B110" s="89" t="s">
        <v>47</v>
      </c>
      <c r="C110" s="20" t="s">
        <v>5</v>
      </c>
      <c r="D110" s="20"/>
      <c r="E110" s="66">
        <f t="shared" ref="E110:J110" si="16">E113</f>
        <v>393.38480000000004</v>
      </c>
      <c r="F110" s="66">
        <f t="shared" si="16"/>
        <v>405</v>
      </c>
      <c r="G110" s="66">
        <f t="shared" si="16"/>
        <v>405</v>
      </c>
      <c r="H110" s="66">
        <f t="shared" si="16"/>
        <v>405</v>
      </c>
      <c r="I110" s="66">
        <f t="shared" si="16"/>
        <v>405</v>
      </c>
      <c r="J110" s="66">
        <f t="shared" si="16"/>
        <v>405</v>
      </c>
    </row>
    <row r="111" spans="1:10" ht="29.25" customHeight="1">
      <c r="A111" s="89"/>
      <c r="B111" s="89"/>
      <c r="C111" s="11" t="s">
        <v>11</v>
      </c>
      <c r="D111" s="11"/>
      <c r="E111" s="63"/>
      <c r="F111" s="63"/>
      <c r="G111" s="48"/>
      <c r="H111" s="63"/>
      <c r="I111" s="63"/>
      <c r="J111" s="63"/>
    </row>
    <row r="112" spans="1:10" ht="19.5" customHeight="1">
      <c r="A112" s="89"/>
      <c r="B112" s="89"/>
      <c r="C112" s="12" t="s">
        <v>6</v>
      </c>
      <c r="D112" s="12"/>
      <c r="E112" s="63"/>
      <c r="F112" s="63"/>
      <c r="G112" s="62"/>
      <c r="H112" s="63"/>
      <c r="I112" s="63"/>
      <c r="J112" s="63"/>
    </row>
    <row r="113" spans="1:10" ht="40.5" customHeight="1">
      <c r="A113" s="89"/>
      <c r="B113" s="89"/>
      <c r="C113" s="6" t="s">
        <v>7</v>
      </c>
      <c r="D113" s="6"/>
      <c r="E113" s="48">
        <f t="shared" ref="E113:J113" si="17">E114</f>
        <v>393.38480000000004</v>
      </c>
      <c r="F113" s="48">
        <f t="shared" si="17"/>
        <v>405</v>
      </c>
      <c r="G113" s="48">
        <f t="shared" si="17"/>
        <v>405</v>
      </c>
      <c r="H113" s="48">
        <f t="shared" si="17"/>
        <v>405</v>
      </c>
      <c r="I113" s="48">
        <f t="shared" si="17"/>
        <v>405</v>
      </c>
      <c r="J113" s="48">
        <f t="shared" si="17"/>
        <v>405</v>
      </c>
    </row>
    <row r="114" spans="1:10" ht="19.5" customHeight="1">
      <c r="A114" s="90" t="s">
        <v>30</v>
      </c>
      <c r="B114" s="85" t="s">
        <v>13</v>
      </c>
      <c r="C114" s="10" t="s">
        <v>5</v>
      </c>
      <c r="D114" s="10"/>
      <c r="E114" s="48">
        <f>E117+E118+E119+E120+E121+E123+E122</f>
        <v>393.38480000000004</v>
      </c>
      <c r="F114" s="48">
        <f>F118+F123</f>
        <v>405</v>
      </c>
      <c r="G114" s="48">
        <f>G118+G123</f>
        <v>405</v>
      </c>
      <c r="H114" s="48">
        <f>H118+H123</f>
        <v>405</v>
      </c>
      <c r="I114" s="48">
        <f>I118+I123</f>
        <v>405</v>
      </c>
      <c r="J114" s="48">
        <f>J118+J123</f>
        <v>405</v>
      </c>
    </row>
    <row r="115" spans="1:10" ht="26.25" customHeight="1">
      <c r="A115" s="91"/>
      <c r="B115" s="86"/>
      <c r="C115" s="11" t="s">
        <v>11</v>
      </c>
      <c r="D115" s="11"/>
      <c r="E115" s="63"/>
      <c r="F115" s="63"/>
      <c r="G115" s="48"/>
      <c r="H115" s="63"/>
      <c r="I115" s="63"/>
      <c r="J115" s="63"/>
    </row>
    <row r="116" spans="1:10" ht="19.5" customHeight="1">
      <c r="A116" s="91"/>
      <c r="B116" s="86"/>
      <c r="C116" s="12" t="s">
        <v>6</v>
      </c>
      <c r="D116" s="12"/>
      <c r="E116" s="63"/>
      <c r="F116" s="63"/>
      <c r="G116" s="62"/>
      <c r="H116" s="63"/>
      <c r="I116" s="63"/>
      <c r="J116" s="63"/>
    </row>
    <row r="117" spans="1:10" ht="19.5" customHeight="1">
      <c r="A117" s="91"/>
      <c r="B117" s="86"/>
      <c r="C117" s="73"/>
      <c r="D117" s="6" t="s">
        <v>164</v>
      </c>
      <c r="E117" s="63">
        <v>2</v>
      </c>
      <c r="F117" s="63"/>
      <c r="G117" s="62"/>
      <c r="H117" s="63"/>
      <c r="I117" s="63"/>
      <c r="J117" s="63"/>
    </row>
    <row r="118" spans="1:10" ht="19.5" customHeight="1">
      <c r="A118" s="87"/>
      <c r="B118" s="103"/>
      <c r="C118" s="109"/>
      <c r="D118" s="6" t="s">
        <v>113</v>
      </c>
      <c r="E118" s="31">
        <v>41.773699999999998</v>
      </c>
      <c r="F118" s="31">
        <v>205</v>
      </c>
      <c r="G118" s="31">
        <v>205</v>
      </c>
      <c r="H118" s="31">
        <v>205</v>
      </c>
      <c r="I118" s="31">
        <v>205</v>
      </c>
      <c r="J118" s="31">
        <v>205</v>
      </c>
    </row>
    <row r="119" spans="1:10" ht="19.5" customHeight="1">
      <c r="A119" s="87"/>
      <c r="B119" s="103"/>
      <c r="C119" s="109"/>
      <c r="D119" s="6" t="s">
        <v>163</v>
      </c>
      <c r="E119" s="31">
        <v>208.39109999999999</v>
      </c>
      <c r="F119" s="31"/>
      <c r="G119" s="31"/>
      <c r="H119" s="31"/>
      <c r="I119" s="31"/>
      <c r="J119" s="31"/>
    </row>
    <row r="120" spans="1:10" ht="19.5" customHeight="1">
      <c r="A120" s="87"/>
      <c r="B120" s="103"/>
      <c r="C120" s="109"/>
      <c r="D120" s="6" t="s">
        <v>165</v>
      </c>
      <c r="E120" s="31">
        <v>6</v>
      </c>
      <c r="F120" s="31"/>
      <c r="G120" s="31"/>
      <c r="H120" s="31"/>
      <c r="I120" s="31"/>
      <c r="J120" s="31"/>
    </row>
    <row r="121" spans="1:10" ht="19.5" customHeight="1">
      <c r="A121" s="87"/>
      <c r="B121" s="103"/>
      <c r="C121" s="109"/>
      <c r="D121" s="6" t="s">
        <v>166</v>
      </c>
      <c r="E121" s="31">
        <v>6</v>
      </c>
      <c r="F121" s="31"/>
      <c r="G121" s="31"/>
      <c r="H121" s="31"/>
      <c r="I121" s="31"/>
      <c r="J121" s="31"/>
    </row>
    <row r="122" spans="1:10" ht="19.5" customHeight="1">
      <c r="A122" s="87"/>
      <c r="B122" s="103"/>
      <c r="C122" s="109"/>
      <c r="D122" s="6" t="s">
        <v>167</v>
      </c>
      <c r="E122" s="31">
        <v>0.22</v>
      </c>
      <c r="F122" s="31"/>
      <c r="G122" s="31"/>
      <c r="H122" s="31"/>
      <c r="I122" s="31"/>
      <c r="J122" s="31"/>
    </row>
    <row r="123" spans="1:10" ht="19.5" customHeight="1">
      <c r="A123" s="88"/>
      <c r="B123" s="104"/>
      <c r="C123" s="110"/>
      <c r="D123" s="6" t="s">
        <v>114</v>
      </c>
      <c r="E123" s="31">
        <v>129</v>
      </c>
      <c r="F123" s="31">
        <v>200</v>
      </c>
      <c r="G123" s="31">
        <v>200</v>
      </c>
      <c r="H123" s="31">
        <v>200</v>
      </c>
      <c r="I123" s="31">
        <v>200</v>
      </c>
      <c r="J123" s="31">
        <v>200</v>
      </c>
    </row>
    <row r="124" spans="1:10">
      <c r="A124" s="89" t="s">
        <v>42</v>
      </c>
      <c r="B124" s="94" t="s">
        <v>43</v>
      </c>
      <c r="C124" s="18" t="s">
        <v>5</v>
      </c>
      <c r="D124" s="18"/>
      <c r="E124" s="36">
        <f t="shared" ref="E124:J124" si="18">E127+E146+E190+E201+E204+E207+E210+E213</f>
        <v>24255.499929999998</v>
      </c>
      <c r="F124" s="36">
        <f t="shared" si="18"/>
        <v>22409.7</v>
      </c>
      <c r="G124" s="36">
        <f t="shared" si="18"/>
        <v>21002.7</v>
      </c>
      <c r="H124" s="36">
        <f t="shared" si="18"/>
        <v>20330.599999999999</v>
      </c>
      <c r="I124" s="36">
        <f t="shared" si="18"/>
        <v>23320.706999999999</v>
      </c>
      <c r="J124" s="36">
        <f t="shared" si="18"/>
        <v>23320.706999999999</v>
      </c>
    </row>
    <row r="125" spans="1:10">
      <c r="A125" s="89"/>
      <c r="B125" s="94"/>
      <c r="C125" s="6" t="s">
        <v>6</v>
      </c>
      <c r="D125" s="6"/>
      <c r="E125" s="58"/>
      <c r="F125" s="58"/>
      <c r="G125" s="58"/>
      <c r="H125" s="58"/>
      <c r="I125" s="58"/>
      <c r="J125" s="58"/>
    </row>
    <row r="126" spans="1:10" ht="45">
      <c r="A126" s="89"/>
      <c r="B126" s="94"/>
      <c r="C126" s="6" t="s">
        <v>7</v>
      </c>
      <c r="D126" s="6"/>
      <c r="E126" s="31"/>
      <c r="F126" s="31"/>
      <c r="G126" s="31"/>
      <c r="H126" s="31"/>
      <c r="I126" s="31"/>
      <c r="J126" s="31"/>
    </row>
    <row r="127" spans="1:10">
      <c r="A127" s="85" t="s">
        <v>27</v>
      </c>
      <c r="B127" s="95" t="s">
        <v>45</v>
      </c>
      <c r="C127" s="6" t="s">
        <v>5</v>
      </c>
      <c r="D127" s="21"/>
      <c r="E127" s="31">
        <f>E129+E130+E131+E132+E133+E134+E135+E136+E137+E138+E139+E140+E141+E142+E143+E144+E145</f>
        <v>9310.1999299999989</v>
      </c>
      <c r="F127" s="31">
        <f t="shared" ref="F127:J127" si="19">F129+F130+F131+F132+F133+F134+F135+F136+F137+F138+F139+F140+F141+F142+F143+F144+F145</f>
        <v>7007</v>
      </c>
      <c r="G127" s="31">
        <f t="shared" si="19"/>
        <v>5773</v>
      </c>
      <c r="H127" s="31">
        <f t="shared" si="19"/>
        <v>5773</v>
      </c>
      <c r="I127" s="31">
        <f t="shared" si="19"/>
        <v>5733.9380000000001</v>
      </c>
      <c r="J127" s="31">
        <f t="shared" si="19"/>
        <v>5733.9380000000001</v>
      </c>
    </row>
    <row r="128" spans="1:10">
      <c r="A128" s="86"/>
      <c r="B128" s="96"/>
      <c r="C128" s="6" t="s">
        <v>6</v>
      </c>
      <c r="D128" s="6"/>
      <c r="E128" s="31"/>
      <c r="F128" s="31"/>
      <c r="G128" s="31"/>
      <c r="H128" s="31"/>
      <c r="I128" s="31"/>
      <c r="J128" s="31"/>
    </row>
    <row r="129" spans="1:10" ht="37.5" customHeight="1">
      <c r="A129" s="86"/>
      <c r="B129" s="96"/>
      <c r="C129" s="111" t="s">
        <v>7</v>
      </c>
      <c r="D129" s="9" t="s">
        <v>115</v>
      </c>
      <c r="E129" s="76">
        <v>3743.2860000000001</v>
      </c>
      <c r="F129" s="31">
        <f>'[3]2019'!$M$40/1000</f>
        <v>3692</v>
      </c>
      <c r="G129" s="31">
        <v>3658</v>
      </c>
      <c r="H129" s="31">
        <v>3658</v>
      </c>
      <c r="I129" s="31">
        <v>3098.9380000000001</v>
      </c>
      <c r="J129" s="31">
        <v>3098.9380000000001</v>
      </c>
    </row>
    <row r="130" spans="1:10" ht="24.75" customHeight="1">
      <c r="A130" s="87"/>
      <c r="B130" s="87"/>
      <c r="C130" s="112"/>
      <c r="D130" s="9" t="s">
        <v>116</v>
      </c>
      <c r="E130" s="76">
        <v>1108.7139999999999</v>
      </c>
      <c r="F130" s="31">
        <f>'[3]2019'!$M$41/1000</f>
        <v>1071</v>
      </c>
      <c r="G130" s="31">
        <v>1105</v>
      </c>
      <c r="H130" s="31">
        <v>1105</v>
      </c>
      <c r="I130" s="31">
        <v>919</v>
      </c>
      <c r="J130" s="31">
        <v>919</v>
      </c>
    </row>
    <row r="131" spans="1:10" ht="21.75" customHeight="1">
      <c r="A131" s="87"/>
      <c r="B131" s="87"/>
      <c r="C131" s="112"/>
      <c r="D131" s="9" t="s">
        <v>117</v>
      </c>
      <c r="E131" s="76">
        <v>65.177999999999997</v>
      </c>
      <c r="F131" s="31">
        <f>'[3]2019'!$M$42/1000</f>
        <v>80</v>
      </c>
      <c r="G131" s="31">
        <v>80</v>
      </c>
      <c r="H131" s="31">
        <v>80</v>
      </c>
      <c r="I131" s="31">
        <v>60</v>
      </c>
      <c r="J131" s="31">
        <v>60</v>
      </c>
    </row>
    <row r="132" spans="1:10" ht="17.25" customHeight="1">
      <c r="A132" s="87"/>
      <c r="B132" s="87"/>
      <c r="C132" s="112"/>
      <c r="D132" s="9" t="s">
        <v>118</v>
      </c>
      <c r="E132" s="76">
        <f>2.05913+1.50633+187.53032+70.80792</f>
        <v>261.90369999999996</v>
      </c>
      <c r="F132" s="31">
        <v>338</v>
      </c>
      <c r="G132" s="31">
        <v>250</v>
      </c>
      <c r="H132" s="31">
        <v>250</v>
      </c>
      <c r="I132" s="31">
        <v>293</v>
      </c>
      <c r="J132" s="31">
        <v>293</v>
      </c>
    </row>
    <row r="133" spans="1:10" ht="22.5" customHeight="1">
      <c r="A133" s="87"/>
      <c r="B133" s="87"/>
      <c r="C133" s="112"/>
      <c r="D133" s="9" t="s">
        <v>119</v>
      </c>
      <c r="E133" s="76">
        <f>1+12.01055+16.15+1.25+149.698</f>
        <v>180.10855000000001</v>
      </c>
      <c r="F133" s="31">
        <v>238</v>
      </c>
      <c r="G133" s="31">
        <v>150</v>
      </c>
      <c r="H133" s="31">
        <v>150</v>
      </c>
      <c r="I133" s="31">
        <v>173</v>
      </c>
      <c r="J133" s="31">
        <v>173</v>
      </c>
    </row>
    <row r="134" spans="1:10" ht="16.5" customHeight="1">
      <c r="A134" s="87"/>
      <c r="B134" s="87"/>
      <c r="C134" s="112"/>
      <c r="D134" s="9" t="s">
        <v>174</v>
      </c>
      <c r="E134" s="76">
        <v>2692.2</v>
      </c>
      <c r="F134" s="31"/>
      <c r="G134" s="31"/>
      <c r="H134" s="31"/>
      <c r="I134" s="31"/>
      <c r="J134" s="31"/>
    </row>
    <row r="135" spans="1:10" ht="15" customHeight="1">
      <c r="A135" s="87"/>
      <c r="B135" s="87"/>
      <c r="C135" s="112"/>
      <c r="D135" s="9" t="s">
        <v>120</v>
      </c>
      <c r="E135" s="76">
        <f>3.46429+794.01322+11.935+91.46+14.6+4.35+1.02</f>
        <v>920.84251000000006</v>
      </c>
      <c r="F135" s="31">
        <v>1106</v>
      </c>
      <c r="G135" s="31">
        <v>320</v>
      </c>
      <c r="H135" s="31">
        <v>320</v>
      </c>
      <c r="I135" s="31">
        <v>835</v>
      </c>
      <c r="J135" s="31">
        <v>835</v>
      </c>
    </row>
    <row r="136" spans="1:10" ht="15" customHeight="1">
      <c r="A136" s="87"/>
      <c r="B136" s="87"/>
      <c r="C136" s="112"/>
      <c r="D136" s="9" t="s">
        <v>179</v>
      </c>
      <c r="E136" s="76"/>
      <c r="F136" s="31">
        <v>5</v>
      </c>
      <c r="G136" s="31"/>
      <c r="H136" s="31"/>
      <c r="I136" s="31"/>
      <c r="J136" s="31"/>
    </row>
    <row r="137" spans="1:10" ht="15" customHeight="1">
      <c r="A137" s="87"/>
      <c r="B137" s="87"/>
      <c r="C137" s="112"/>
      <c r="D137" s="9" t="s">
        <v>172</v>
      </c>
      <c r="E137" s="76">
        <v>99.356999999999999</v>
      </c>
      <c r="F137" s="31"/>
      <c r="G137" s="31"/>
      <c r="H137" s="31"/>
      <c r="I137" s="31"/>
      <c r="J137" s="31"/>
    </row>
    <row r="138" spans="1:10" ht="15.75" customHeight="1">
      <c r="A138" s="87"/>
      <c r="B138" s="87"/>
      <c r="C138" s="112"/>
      <c r="D138" s="9" t="s">
        <v>168</v>
      </c>
      <c r="E138" s="76">
        <v>1.6</v>
      </c>
      <c r="F138" s="31"/>
      <c r="G138" s="31"/>
      <c r="H138" s="31"/>
      <c r="I138" s="31">
        <v>6</v>
      </c>
      <c r="J138" s="31">
        <v>6</v>
      </c>
    </row>
    <row r="139" spans="1:10" ht="15" customHeight="1">
      <c r="A139" s="87"/>
      <c r="B139" s="87"/>
      <c r="C139" s="112"/>
      <c r="D139" s="9" t="s">
        <v>169</v>
      </c>
      <c r="E139" s="76">
        <v>0.8</v>
      </c>
      <c r="F139" s="31"/>
      <c r="G139" s="31"/>
      <c r="H139" s="31"/>
      <c r="I139" s="31"/>
      <c r="J139" s="31"/>
    </row>
    <row r="140" spans="1:10" ht="15" customHeight="1">
      <c r="A140" s="87"/>
      <c r="B140" s="87"/>
      <c r="C140" s="112"/>
      <c r="D140" s="9" t="s">
        <v>121</v>
      </c>
      <c r="E140" s="76">
        <v>0.2</v>
      </c>
      <c r="F140" s="31">
        <v>10</v>
      </c>
      <c r="G140" s="31">
        <v>10</v>
      </c>
      <c r="H140" s="31">
        <v>10</v>
      </c>
      <c r="I140" s="31"/>
      <c r="J140" s="31"/>
    </row>
    <row r="141" spans="1:10" ht="15" customHeight="1">
      <c r="A141" s="87"/>
      <c r="B141" s="87"/>
      <c r="C141" s="112"/>
      <c r="D141" s="9" t="s">
        <v>170</v>
      </c>
      <c r="E141" s="76">
        <v>2</v>
      </c>
      <c r="F141" s="31"/>
      <c r="G141" s="31"/>
      <c r="H141" s="31"/>
      <c r="I141" s="31"/>
      <c r="J141" s="31"/>
    </row>
    <row r="142" spans="1:10" ht="15" customHeight="1">
      <c r="A142" s="87"/>
      <c r="B142" s="87"/>
      <c r="C142" s="112"/>
      <c r="D142" s="9" t="s">
        <v>168</v>
      </c>
      <c r="E142" s="76">
        <v>1</v>
      </c>
      <c r="F142" s="31"/>
      <c r="G142" s="31"/>
      <c r="H142" s="31"/>
      <c r="I142" s="31"/>
      <c r="J142" s="31"/>
    </row>
    <row r="143" spans="1:10" ht="15" customHeight="1">
      <c r="A143" s="87"/>
      <c r="B143" s="87"/>
      <c r="C143" s="112"/>
      <c r="D143" s="9" t="s">
        <v>171</v>
      </c>
      <c r="E143" s="76">
        <v>7.2999999999999996E-4</v>
      </c>
      <c r="F143" s="31"/>
      <c r="G143" s="31"/>
      <c r="H143" s="31"/>
      <c r="I143" s="31"/>
      <c r="J143" s="31"/>
    </row>
    <row r="144" spans="1:10" ht="15" customHeight="1">
      <c r="A144" s="87"/>
      <c r="B144" s="87"/>
      <c r="C144" s="112"/>
      <c r="D144" s="9" t="s">
        <v>180</v>
      </c>
      <c r="E144" s="76"/>
      <c r="F144" s="31">
        <v>36</v>
      </c>
      <c r="G144" s="31"/>
      <c r="H144" s="31"/>
      <c r="I144" s="31"/>
      <c r="J144" s="31"/>
    </row>
    <row r="145" spans="1:10" ht="15.75" customHeight="1">
      <c r="A145" s="88"/>
      <c r="B145" s="88"/>
      <c r="C145" s="113"/>
      <c r="D145" s="9" t="s">
        <v>122</v>
      </c>
      <c r="E145" s="76">
        <f>56.17578+149.95169+13.32897+1.45+3.115+8.988</f>
        <v>233.00944000000001</v>
      </c>
      <c r="F145" s="31">
        <v>431</v>
      </c>
      <c r="G145" s="31">
        <v>200</v>
      </c>
      <c r="H145" s="31">
        <v>200</v>
      </c>
      <c r="I145" s="31">
        <v>349</v>
      </c>
      <c r="J145" s="31">
        <v>349</v>
      </c>
    </row>
    <row r="146" spans="1:10">
      <c r="A146" s="97" t="s">
        <v>28</v>
      </c>
      <c r="B146" s="99" t="s">
        <v>23</v>
      </c>
      <c r="C146" s="6" t="s">
        <v>5</v>
      </c>
      <c r="D146" s="18"/>
      <c r="E146" s="36">
        <f t="shared" ref="E146:J146" si="20">E148+E189</f>
        <v>1516</v>
      </c>
      <c r="F146" s="36">
        <f t="shared" si="20"/>
        <v>1670</v>
      </c>
      <c r="G146" s="36">
        <f t="shared" si="20"/>
        <v>1670</v>
      </c>
      <c r="H146" s="36">
        <f t="shared" si="20"/>
        <v>1670</v>
      </c>
      <c r="I146" s="36">
        <f t="shared" si="20"/>
        <v>1555.569</v>
      </c>
      <c r="J146" s="36">
        <f t="shared" si="20"/>
        <v>1555.569</v>
      </c>
    </row>
    <row r="147" spans="1:10">
      <c r="A147" s="98"/>
      <c r="B147" s="100"/>
      <c r="C147" s="6" t="s">
        <v>6</v>
      </c>
      <c r="D147" s="6"/>
      <c r="E147" s="63"/>
      <c r="F147" s="63"/>
      <c r="G147" s="31"/>
      <c r="H147" s="63"/>
      <c r="I147" s="63"/>
      <c r="J147" s="63"/>
    </row>
    <row r="148" spans="1:10" ht="30" customHeight="1">
      <c r="A148" s="98"/>
      <c r="B148" s="100"/>
      <c r="C148" s="108" t="s">
        <v>7</v>
      </c>
      <c r="D148" s="9" t="s">
        <v>127</v>
      </c>
      <c r="E148" s="47">
        <v>1091.8</v>
      </c>
      <c r="F148" s="47">
        <f>'[3]2019'!$M$36/1000</f>
        <v>1294</v>
      </c>
      <c r="G148" s="47">
        <f>'[3]2019'!$M$36/1000</f>
        <v>1294</v>
      </c>
      <c r="H148" s="47">
        <f>'[3]2019'!$M$36/1000</f>
        <v>1294</v>
      </c>
      <c r="I148" s="47">
        <v>1211.818</v>
      </c>
      <c r="J148" s="47">
        <v>1211.818</v>
      </c>
    </row>
    <row r="149" spans="1:10" ht="15" hidden="1" customHeight="1">
      <c r="A149" s="87"/>
      <c r="B149" s="87"/>
      <c r="C149" s="109"/>
      <c r="D149" s="9" t="s">
        <v>29</v>
      </c>
      <c r="E149" s="61">
        <f t="shared" ref="E149:J149" si="21">E151</f>
        <v>13432</v>
      </c>
      <c r="F149" s="61">
        <f t="shared" si="21"/>
        <v>13432</v>
      </c>
      <c r="G149" s="61">
        <f t="shared" ref="G149:H149" si="22">G151</f>
        <v>13432</v>
      </c>
      <c r="H149" s="61">
        <f t="shared" si="22"/>
        <v>13432</v>
      </c>
      <c r="I149" s="61">
        <f t="shared" si="21"/>
        <v>13432</v>
      </c>
      <c r="J149" s="61">
        <f t="shared" si="21"/>
        <v>13432</v>
      </c>
    </row>
    <row r="150" spans="1:10" ht="30" hidden="1" customHeight="1">
      <c r="A150" s="87"/>
      <c r="B150" s="87"/>
      <c r="C150" s="109"/>
      <c r="D150" s="9" t="s">
        <v>24</v>
      </c>
      <c r="E150" s="48"/>
      <c r="F150" s="48"/>
      <c r="G150" s="48"/>
      <c r="H150" s="48"/>
      <c r="I150" s="48"/>
      <c r="J150" s="48"/>
    </row>
    <row r="151" spans="1:10" ht="15" hidden="1" customHeight="1">
      <c r="A151" s="87"/>
      <c r="B151" s="87"/>
      <c r="C151" s="109"/>
      <c r="D151" s="9" t="s">
        <v>29</v>
      </c>
      <c r="E151" s="48">
        <f t="shared" ref="E151:J151" si="23">E153</f>
        <v>13432</v>
      </c>
      <c r="F151" s="48">
        <f t="shared" si="23"/>
        <v>13432</v>
      </c>
      <c r="G151" s="48">
        <f t="shared" ref="G151:H151" si="24">G153</f>
        <v>13432</v>
      </c>
      <c r="H151" s="48">
        <f t="shared" si="24"/>
        <v>13432</v>
      </c>
      <c r="I151" s="48">
        <f t="shared" si="23"/>
        <v>13432</v>
      </c>
      <c r="J151" s="48">
        <f t="shared" si="23"/>
        <v>13432</v>
      </c>
    </row>
    <row r="152" spans="1:10" ht="30" hidden="1" customHeight="1">
      <c r="A152" s="87"/>
      <c r="B152" s="87"/>
      <c r="C152" s="109"/>
      <c r="D152" s="9" t="s">
        <v>24</v>
      </c>
      <c r="E152" s="62"/>
      <c r="F152" s="62"/>
      <c r="G152" s="62"/>
      <c r="H152" s="62"/>
      <c r="I152" s="62"/>
      <c r="J152" s="62"/>
    </row>
    <row r="153" spans="1:10" ht="60" hidden="1" customHeight="1">
      <c r="A153" s="87"/>
      <c r="B153" s="87"/>
      <c r="C153" s="109"/>
      <c r="D153" s="9" t="s">
        <v>29</v>
      </c>
      <c r="E153" s="48">
        <v>13432</v>
      </c>
      <c r="F153" s="48">
        <v>13432</v>
      </c>
      <c r="G153" s="48">
        <v>13432</v>
      </c>
      <c r="H153" s="48">
        <v>13432</v>
      </c>
      <c r="I153" s="48">
        <v>13432</v>
      </c>
      <c r="J153" s="48">
        <v>13432</v>
      </c>
    </row>
    <row r="154" spans="1:10" ht="15" hidden="1" customHeight="1">
      <c r="A154" s="87"/>
      <c r="B154" s="87"/>
      <c r="C154" s="109"/>
      <c r="D154" s="9" t="s">
        <v>24</v>
      </c>
      <c r="E154" s="61">
        <f t="shared" ref="E154:J154" si="25">E156</f>
        <v>4109</v>
      </c>
      <c r="F154" s="61">
        <f t="shared" si="25"/>
        <v>4109</v>
      </c>
      <c r="G154" s="61">
        <f t="shared" ref="G154:H154" si="26">G156</f>
        <v>4109</v>
      </c>
      <c r="H154" s="61">
        <f t="shared" si="26"/>
        <v>4109</v>
      </c>
      <c r="I154" s="61">
        <f t="shared" si="25"/>
        <v>4109</v>
      </c>
      <c r="J154" s="61">
        <f t="shared" si="25"/>
        <v>4109</v>
      </c>
    </row>
    <row r="155" spans="1:10" ht="30" hidden="1" customHeight="1">
      <c r="A155" s="87"/>
      <c r="B155" s="87"/>
      <c r="C155" s="109"/>
      <c r="D155" s="9" t="s">
        <v>29</v>
      </c>
      <c r="E155" s="48"/>
      <c r="F155" s="48"/>
      <c r="G155" s="48"/>
      <c r="H155" s="48"/>
      <c r="I155" s="48"/>
      <c r="J155" s="48"/>
    </row>
    <row r="156" spans="1:10" ht="15" hidden="1" customHeight="1">
      <c r="A156" s="87"/>
      <c r="B156" s="87"/>
      <c r="C156" s="109"/>
      <c r="D156" s="9" t="s">
        <v>24</v>
      </c>
      <c r="E156" s="48">
        <v>4109</v>
      </c>
      <c r="F156" s="48">
        <v>4109</v>
      </c>
      <c r="G156" s="48">
        <v>4109</v>
      </c>
      <c r="H156" s="48">
        <v>4109</v>
      </c>
      <c r="I156" s="48">
        <v>4109</v>
      </c>
      <c r="J156" s="48">
        <v>4109</v>
      </c>
    </row>
    <row r="157" spans="1:10" ht="30" hidden="1" customHeight="1">
      <c r="A157" s="87"/>
      <c r="B157" s="87"/>
      <c r="C157" s="109"/>
      <c r="D157" s="9" t="s">
        <v>29</v>
      </c>
      <c r="E157" s="62"/>
      <c r="F157" s="62"/>
      <c r="G157" s="62"/>
      <c r="H157" s="62"/>
      <c r="I157" s="62"/>
      <c r="J157" s="62"/>
    </row>
    <row r="158" spans="1:10" ht="60" hidden="1" customHeight="1">
      <c r="A158" s="87"/>
      <c r="B158" s="87"/>
      <c r="C158" s="109"/>
      <c r="D158" s="9" t="s">
        <v>24</v>
      </c>
      <c r="E158" s="48">
        <v>4109</v>
      </c>
      <c r="F158" s="48">
        <v>4109</v>
      </c>
      <c r="G158" s="48">
        <v>4109</v>
      </c>
      <c r="H158" s="48">
        <v>4109</v>
      </c>
      <c r="I158" s="48">
        <v>4109</v>
      </c>
      <c r="J158" s="48">
        <v>4109</v>
      </c>
    </row>
    <row r="159" spans="1:10" ht="0.75" hidden="1" customHeight="1">
      <c r="A159" s="87"/>
      <c r="B159" s="87"/>
      <c r="C159" s="109"/>
      <c r="D159" s="9" t="s">
        <v>29</v>
      </c>
      <c r="E159" s="61">
        <f t="shared" ref="E159:J159" si="27">E161</f>
        <v>3865</v>
      </c>
      <c r="F159" s="61">
        <f t="shared" si="27"/>
        <v>3865</v>
      </c>
      <c r="G159" s="61">
        <f t="shared" ref="G159:H159" si="28">G161</f>
        <v>3865</v>
      </c>
      <c r="H159" s="61">
        <f t="shared" si="28"/>
        <v>3865</v>
      </c>
      <c r="I159" s="61">
        <f t="shared" si="27"/>
        <v>3865</v>
      </c>
      <c r="J159" s="61">
        <f t="shared" si="27"/>
        <v>3865</v>
      </c>
    </row>
    <row r="160" spans="1:10" ht="30" hidden="1" customHeight="1">
      <c r="A160" s="87"/>
      <c r="B160" s="87"/>
      <c r="C160" s="109"/>
      <c r="D160" s="9" t="s">
        <v>24</v>
      </c>
      <c r="E160" s="48"/>
      <c r="F160" s="48"/>
      <c r="G160" s="48"/>
      <c r="H160" s="48"/>
      <c r="I160" s="48"/>
      <c r="J160" s="48"/>
    </row>
    <row r="161" spans="1:10" ht="15" hidden="1" customHeight="1">
      <c r="A161" s="87"/>
      <c r="B161" s="87"/>
      <c r="C161" s="109"/>
      <c r="D161" s="9" t="s">
        <v>29</v>
      </c>
      <c r="E161" s="48">
        <v>3865</v>
      </c>
      <c r="F161" s="48">
        <v>3865</v>
      </c>
      <c r="G161" s="48">
        <v>3865</v>
      </c>
      <c r="H161" s="48">
        <v>3865</v>
      </c>
      <c r="I161" s="48">
        <v>3865</v>
      </c>
      <c r="J161" s="48">
        <v>3865</v>
      </c>
    </row>
    <row r="162" spans="1:10" ht="30" hidden="1" customHeight="1">
      <c r="A162" s="87"/>
      <c r="B162" s="87"/>
      <c r="C162" s="109"/>
      <c r="D162" s="9" t="s">
        <v>24</v>
      </c>
      <c r="E162" s="62"/>
      <c r="F162" s="62"/>
      <c r="G162" s="62"/>
      <c r="H162" s="62"/>
      <c r="I162" s="62"/>
      <c r="J162" s="62"/>
    </row>
    <row r="163" spans="1:10" ht="62.25" hidden="1" customHeight="1">
      <c r="A163" s="87"/>
      <c r="B163" s="87"/>
      <c r="C163" s="109"/>
      <c r="D163" s="9" t="s">
        <v>29</v>
      </c>
      <c r="E163" s="48">
        <v>3865</v>
      </c>
      <c r="F163" s="48">
        <v>3865</v>
      </c>
      <c r="G163" s="48">
        <v>3865</v>
      </c>
      <c r="H163" s="48">
        <v>3865</v>
      </c>
      <c r="I163" s="48">
        <v>3865</v>
      </c>
      <c r="J163" s="48">
        <v>3865</v>
      </c>
    </row>
    <row r="164" spans="1:10" ht="15" hidden="1" customHeight="1">
      <c r="A164" s="87"/>
      <c r="B164" s="87"/>
      <c r="C164" s="109"/>
      <c r="D164" s="9" t="s">
        <v>24</v>
      </c>
      <c r="E164" s="48">
        <v>42</v>
      </c>
      <c r="F164" s="48">
        <v>42</v>
      </c>
      <c r="G164" s="48">
        <v>42</v>
      </c>
      <c r="H164" s="48">
        <v>42</v>
      </c>
      <c r="I164" s="48">
        <v>42</v>
      </c>
      <c r="J164" s="48">
        <v>42</v>
      </c>
    </row>
    <row r="165" spans="1:10" ht="30" hidden="1" customHeight="1">
      <c r="A165" s="87"/>
      <c r="B165" s="87"/>
      <c r="C165" s="109"/>
      <c r="D165" s="9" t="s">
        <v>29</v>
      </c>
      <c r="E165" s="48"/>
      <c r="F165" s="48"/>
      <c r="G165" s="48"/>
      <c r="H165" s="48"/>
      <c r="I165" s="48"/>
      <c r="J165" s="48"/>
    </row>
    <row r="166" spans="1:10" ht="15" hidden="1" customHeight="1">
      <c r="A166" s="87"/>
      <c r="B166" s="87"/>
      <c r="C166" s="109"/>
      <c r="D166" s="9" t="s">
        <v>24</v>
      </c>
      <c r="E166" s="48">
        <v>42</v>
      </c>
      <c r="F166" s="48">
        <v>42</v>
      </c>
      <c r="G166" s="48">
        <v>42</v>
      </c>
      <c r="H166" s="48">
        <v>42</v>
      </c>
      <c r="I166" s="48">
        <v>42</v>
      </c>
      <c r="J166" s="48">
        <v>42</v>
      </c>
    </row>
    <row r="167" spans="1:10" ht="30" hidden="1" customHeight="1">
      <c r="A167" s="87"/>
      <c r="B167" s="87"/>
      <c r="C167" s="109"/>
      <c r="D167" s="9" t="s">
        <v>29</v>
      </c>
      <c r="E167" s="62"/>
      <c r="F167" s="62"/>
      <c r="G167" s="62"/>
      <c r="H167" s="62"/>
      <c r="I167" s="62"/>
      <c r="J167" s="62"/>
    </row>
    <row r="168" spans="1:10" ht="60" hidden="1" customHeight="1">
      <c r="A168" s="87"/>
      <c r="B168" s="87"/>
      <c r="C168" s="109"/>
      <c r="D168" s="9" t="s">
        <v>24</v>
      </c>
      <c r="E168" s="48">
        <v>42</v>
      </c>
      <c r="F168" s="48">
        <v>42</v>
      </c>
      <c r="G168" s="48">
        <v>42</v>
      </c>
      <c r="H168" s="48">
        <v>42</v>
      </c>
      <c r="I168" s="48">
        <v>42</v>
      </c>
      <c r="J168" s="48">
        <v>42</v>
      </c>
    </row>
    <row r="169" spans="1:10" ht="3.75" hidden="1" customHeight="1">
      <c r="A169" s="87"/>
      <c r="B169" s="87"/>
      <c r="C169" s="109"/>
      <c r="D169" s="9" t="s">
        <v>29</v>
      </c>
      <c r="E169" s="48">
        <f t="shared" ref="E169:J169" si="29">E171</f>
        <v>4996</v>
      </c>
      <c r="F169" s="48">
        <f t="shared" si="29"/>
        <v>4996</v>
      </c>
      <c r="G169" s="48">
        <f t="shared" ref="G169:H169" si="30">G171</f>
        <v>4996</v>
      </c>
      <c r="H169" s="48">
        <f t="shared" si="30"/>
        <v>4996</v>
      </c>
      <c r="I169" s="48">
        <f t="shared" si="29"/>
        <v>4996</v>
      </c>
      <c r="J169" s="48">
        <f t="shared" si="29"/>
        <v>4996</v>
      </c>
    </row>
    <row r="170" spans="1:10" ht="30" hidden="1" customHeight="1">
      <c r="A170" s="87"/>
      <c r="B170" s="87"/>
      <c r="C170" s="109"/>
      <c r="D170" s="9" t="s">
        <v>24</v>
      </c>
      <c r="E170" s="48"/>
      <c r="F170" s="48"/>
      <c r="G170" s="48"/>
      <c r="H170" s="48"/>
      <c r="I170" s="48"/>
      <c r="J170" s="48"/>
    </row>
    <row r="171" spans="1:10" ht="15" hidden="1" customHeight="1">
      <c r="A171" s="87"/>
      <c r="B171" s="87"/>
      <c r="C171" s="109"/>
      <c r="D171" s="9" t="s">
        <v>29</v>
      </c>
      <c r="E171" s="48">
        <v>4996</v>
      </c>
      <c r="F171" s="48">
        <v>4996</v>
      </c>
      <c r="G171" s="48">
        <v>4996</v>
      </c>
      <c r="H171" s="48">
        <v>4996</v>
      </c>
      <c r="I171" s="48">
        <v>4996</v>
      </c>
      <c r="J171" s="48">
        <v>4996</v>
      </c>
    </row>
    <row r="172" spans="1:10" ht="30" hidden="1" customHeight="1">
      <c r="A172" s="87"/>
      <c r="B172" s="87"/>
      <c r="C172" s="109"/>
      <c r="D172" s="9" t="s">
        <v>24</v>
      </c>
      <c r="E172" s="62"/>
      <c r="F172" s="62"/>
      <c r="G172" s="62"/>
      <c r="H172" s="62"/>
      <c r="I172" s="62"/>
      <c r="J172" s="62"/>
    </row>
    <row r="173" spans="1:10" ht="60" hidden="1" customHeight="1">
      <c r="A173" s="87"/>
      <c r="B173" s="87"/>
      <c r="C173" s="109"/>
      <c r="D173" s="9" t="s">
        <v>29</v>
      </c>
      <c r="E173" s="48">
        <f t="shared" ref="E173:J173" si="31">E171</f>
        <v>4996</v>
      </c>
      <c r="F173" s="48">
        <f t="shared" si="31"/>
        <v>4996</v>
      </c>
      <c r="G173" s="48">
        <f t="shared" ref="G173:H173" si="32">G171</f>
        <v>4996</v>
      </c>
      <c r="H173" s="48">
        <f t="shared" si="32"/>
        <v>4996</v>
      </c>
      <c r="I173" s="48">
        <f t="shared" si="31"/>
        <v>4996</v>
      </c>
      <c r="J173" s="48">
        <f t="shared" si="31"/>
        <v>4996</v>
      </c>
    </row>
    <row r="174" spans="1:10" ht="15" hidden="1" customHeight="1">
      <c r="A174" s="87"/>
      <c r="B174" s="87"/>
      <c r="C174" s="109"/>
      <c r="D174" s="9" t="s">
        <v>24</v>
      </c>
      <c r="E174" s="48">
        <f t="shared" ref="E174:J174" si="33">E176</f>
        <v>288.60000000000002</v>
      </c>
      <c r="F174" s="48">
        <f t="shared" si="33"/>
        <v>288.60000000000002</v>
      </c>
      <c r="G174" s="48">
        <f t="shared" ref="G174:H174" si="34">G176</f>
        <v>288.60000000000002</v>
      </c>
      <c r="H174" s="48">
        <f t="shared" si="34"/>
        <v>288.60000000000002</v>
      </c>
      <c r="I174" s="48">
        <f t="shared" si="33"/>
        <v>288.60000000000002</v>
      </c>
      <c r="J174" s="48">
        <f t="shared" si="33"/>
        <v>288.60000000000002</v>
      </c>
    </row>
    <row r="175" spans="1:10" ht="30" hidden="1" customHeight="1">
      <c r="A175" s="87"/>
      <c r="B175" s="87"/>
      <c r="C175" s="109"/>
      <c r="D175" s="9" t="s">
        <v>29</v>
      </c>
      <c r="E175" s="48"/>
      <c r="F175" s="48"/>
      <c r="G175" s="48"/>
      <c r="H175" s="48"/>
      <c r="I175" s="48"/>
      <c r="J175" s="48"/>
    </row>
    <row r="176" spans="1:10" ht="15" hidden="1" customHeight="1">
      <c r="A176" s="87"/>
      <c r="B176" s="87"/>
      <c r="C176" s="109"/>
      <c r="D176" s="9" t="s">
        <v>24</v>
      </c>
      <c r="E176" s="48">
        <f t="shared" ref="E176:J176" si="35">E178</f>
        <v>288.60000000000002</v>
      </c>
      <c r="F176" s="48">
        <f t="shared" si="35"/>
        <v>288.60000000000002</v>
      </c>
      <c r="G176" s="48">
        <f t="shared" ref="G176:H176" si="36">G178</f>
        <v>288.60000000000002</v>
      </c>
      <c r="H176" s="48">
        <f t="shared" si="36"/>
        <v>288.60000000000002</v>
      </c>
      <c r="I176" s="48">
        <f t="shared" si="35"/>
        <v>288.60000000000002</v>
      </c>
      <c r="J176" s="48">
        <f t="shared" si="35"/>
        <v>288.60000000000002</v>
      </c>
    </row>
    <row r="177" spans="1:10" ht="30" hidden="1" customHeight="1">
      <c r="A177" s="87"/>
      <c r="B177" s="87"/>
      <c r="C177" s="109"/>
      <c r="D177" s="9" t="s">
        <v>29</v>
      </c>
      <c r="E177" s="48"/>
      <c r="F177" s="48"/>
      <c r="G177" s="48"/>
      <c r="H177" s="48"/>
      <c r="I177" s="48"/>
      <c r="J177" s="48"/>
    </row>
    <row r="178" spans="1:10" ht="9.75" hidden="1" customHeight="1">
      <c r="A178" s="87"/>
      <c r="B178" s="87"/>
      <c r="C178" s="109"/>
      <c r="D178" s="9" t="s">
        <v>24</v>
      </c>
      <c r="E178" s="48">
        <v>288.60000000000002</v>
      </c>
      <c r="F178" s="48">
        <v>288.60000000000002</v>
      </c>
      <c r="G178" s="48">
        <v>288.60000000000002</v>
      </c>
      <c r="H178" s="48">
        <v>288.60000000000002</v>
      </c>
      <c r="I178" s="48">
        <v>288.60000000000002</v>
      </c>
      <c r="J178" s="48">
        <v>288.60000000000002</v>
      </c>
    </row>
    <row r="179" spans="1:10" ht="23.25" hidden="1" customHeight="1">
      <c r="A179" s="87"/>
      <c r="B179" s="87"/>
      <c r="C179" s="109"/>
      <c r="D179" s="9" t="s">
        <v>29</v>
      </c>
      <c r="E179" s="48">
        <v>420</v>
      </c>
      <c r="F179" s="48">
        <v>420</v>
      </c>
      <c r="G179" s="48">
        <v>420</v>
      </c>
      <c r="H179" s="48">
        <v>420</v>
      </c>
      <c r="I179" s="48">
        <v>420</v>
      </c>
      <c r="J179" s="48">
        <v>420</v>
      </c>
    </row>
    <row r="180" spans="1:10" ht="30" hidden="1" customHeight="1">
      <c r="A180" s="87"/>
      <c r="B180" s="87"/>
      <c r="C180" s="109"/>
      <c r="D180" s="9" t="s">
        <v>24</v>
      </c>
      <c r="E180" s="48"/>
      <c r="F180" s="48"/>
      <c r="G180" s="48"/>
      <c r="H180" s="48"/>
      <c r="I180" s="48"/>
      <c r="J180" s="48"/>
    </row>
    <row r="181" spans="1:10" ht="36.75" hidden="1" customHeight="1">
      <c r="A181" s="87"/>
      <c r="B181" s="87"/>
      <c r="C181" s="109"/>
      <c r="D181" s="9" t="s">
        <v>29</v>
      </c>
      <c r="E181" s="48">
        <v>420</v>
      </c>
      <c r="F181" s="48">
        <v>420</v>
      </c>
      <c r="G181" s="48">
        <v>420</v>
      </c>
      <c r="H181" s="48">
        <v>420</v>
      </c>
      <c r="I181" s="48">
        <v>420</v>
      </c>
      <c r="J181" s="48">
        <v>420</v>
      </c>
    </row>
    <row r="182" spans="1:10" ht="30.75" hidden="1" customHeight="1">
      <c r="A182" s="87"/>
      <c r="B182" s="87"/>
      <c r="C182" s="109"/>
      <c r="D182" s="9" t="s">
        <v>24</v>
      </c>
      <c r="E182" s="62"/>
      <c r="F182" s="62"/>
      <c r="G182" s="62"/>
      <c r="H182" s="62"/>
      <c r="I182" s="62"/>
      <c r="J182" s="62"/>
    </row>
    <row r="183" spans="1:10" ht="48.75" hidden="1" customHeight="1">
      <c r="A183" s="87"/>
      <c r="B183" s="87"/>
      <c r="C183" s="109"/>
      <c r="D183" s="9" t="s">
        <v>29</v>
      </c>
      <c r="E183" s="48">
        <v>420</v>
      </c>
      <c r="F183" s="48">
        <v>420</v>
      </c>
      <c r="G183" s="48">
        <v>420</v>
      </c>
      <c r="H183" s="48">
        <v>420</v>
      </c>
      <c r="I183" s="48">
        <v>420</v>
      </c>
      <c r="J183" s="48">
        <v>420</v>
      </c>
    </row>
    <row r="184" spans="1:10" ht="30" hidden="1" customHeight="1">
      <c r="A184" s="87"/>
      <c r="B184" s="87"/>
      <c r="C184" s="109"/>
      <c r="D184" s="9" t="s">
        <v>24</v>
      </c>
      <c r="E184" s="48">
        <v>797</v>
      </c>
      <c r="F184" s="48">
        <v>797</v>
      </c>
      <c r="G184" s="48">
        <v>797</v>
      </c>
      <c r="H184" s="48">
        <v>797</v>
      </c>
      <c r="I184" s="48">
        <v>797</v>
      </c>
      <c r="J184" s="48">
        <v>797</v>
      </c>
    </row>
    <row r="185" spans="1:10" ht="14.25" hidden="1" customHeight="1">
      <c r="A185" s="87"/>
      <c r="B185" s="87"/>
      <c r="C185" s="109"/>
      <c r="D185" s="9" t="s">
        <v>29</v>
      </c>
      <c r="E185" s="48"/>
      <c r="F185" s="48"/>
      <c r="G185" s="48"/>
      <c r="H185" s="48"/>
      <c r="I185" s="48"/>
      <c r="J185" s="48"/>
    </row>
    <row r="186" spans="1:10" ht="17.25" hidden="1" customHeight="1">
      <c r="A186" s="87"/>
      <c r="B186" s="87"/>
      <c r="C186" s="109"/>
      <c r="D186" s="9" t="s">
        <v>24</v>
      </c>
      <c r="E186" s="48">
        <v>797</v>
      </c>
      <c r="F186" s="48">
        <v>797</v>
      </c>
      <c r="G186" s="48">
        <v>797</v>
      </c>
      <c r="H186" s="48">
        <v>797</v>
      </c>
      <c r="I186" s="48">
        <v>797</v>
      </c>
      <c r="J186" s="48">
        <v>797</v>
      </c>
    </row>
    <row r="187" spans="1:10" ht="36" hidden="1" customHeight="1">
      <c r="A187" s="87"/>
      <c r="B187" s="87"/>
      <c r="C187" s="109"/>
      <c r="D187" s="9" t="s">
        <v>29</v>
      </c>
      <c r="E187" s="62"/>
      <c r="F187" s="62"/>
      <c r="G187" s="62"/>
      <c r="H187" s="62"/>
      <c r="I187" s="62"/>
      <c r="J187" s="62"/>
    </row>
    <row r="188" spans="1:10" ht="9.75" hidden="1" customHeight="1">
      <c r="A188" s="87"/>
      <c r="B188" s="87"/>
      <c r="C188" s="109"/>
      <c r="D188" s="9" t="s">
        <v>24</v>
      </c>
      <c r="E188" s="48">
        <v>797</v>
      </c>
      <c r="F188" s="48">
        <v>797</v>
      </c>
      <c r="G188" s="48">
        <v>797</v>
      </c>
      <c r="H188" s="48">
        <v>797</v>
      </c>
      <c r="I188" s="48">
        <v>797</v>
      </c>
      <c r="J188" s="48">
        <v>797</v>
      </c>
    </row>
    <row r="189" spans="1:10">
      <c r="A189" s="88"/>
      <c r="B189" s="88"/>
      <c r="C189" s="110"/>
      <c r="D189" s="9" t="s">
        <v>128</v>
      </c>
      <c r="E189" s="48">
        <v>424.2</v>
      </c>
      <c r="F189" s="48">
        <f>'[3]2019'!$M$37/1000</f>
        <v>376</v>
      </c>
      <c r="G189" s="48">
        <f>'[3]2019'!$M$37/1000</f>
        <v>376</v>
      </c>
      <c r="H189" s="48">
        <f>'[3]2019'!$M$37/1000</f>
        <v>376</v>
      </c>
      <c r="I189" s="48">
        <v>343.75099999999998</v>
      </c>
      <c r="J189" s="48">
        <v>343.75099999999998</v>
      </c>
    </row>
    <row r="190" spans="1:10">
      <c r="A190" s="97" t="s">
        <v>31</v>
      </c>
      <c r="B190" s="99" t="s">
        <v>46</v>
      </c>
      <c r="C190" s="6" t="s">
        <v>5</v>
      </c>
      <c r="D190" s="14"/>
      <c r="E190" s="44">
        <f>E192+E193+E194+E195+E196+E197+E198+E199</f>
        <v>792</v>
      </c>
      <c r="F190" s="44">
        <f>F192+F193+F194+F196+F197+F198+F199+F200+F195</f>
        <v>791</v>
      </c>
      <c r="G190" s="44">
        <f>G192+G193+G194+G196+G197+G198+G199+G200</f>
        <v>810</v>
      </c>
      <c r="H190" s="44">
        <f t="shared" ref="H190:J190" si="37">H192+H193+H194+H196+H197+H198+H199</f>
        <v>793</v>
      </c>
      <c r="I190" s="44">
        <f t="shared" si="37"/>
        <v>852.00000000000011</v>
      </c>
      <c r="J190" s="44">
        <f t="shared" si="37"/>
        <v>852.00000000000011</v>
      </c>
    </row>
    <row r="191" spans="1:10">
      <c r="A191" s="87"/>
      <c r="B191" s="87"/>
      <c r="C191" s="6" t="s">
        <v>6</v>
      </c>
      <c r="D191" s="6"/>
      <c r="E191" s="46"/>
      <c r="F191" s="46"/>
      <c r="G191" s="46"/>
      <c r="H191" s="46"/>
      <c r="I191" s="46"/>
      <c r="J191" s="46"/>
    </row>
    <row r="192" spans="1:10" ht="29.25" customHeight="1">
      <c r="A192" s="87"/>
      <c r="B192" s="87"/>
      <c r="C192" s="108" t="s">
        <v>7</v>
      </c>
      <c r="D192" s="9" t="s">
        <v>125</v>
      </c>
      <c r="E192" s="47">
        <v>502.57053000000002</v>
      </c>
      <c r="F192" s="47">
        <f>'[3]2019'!$M$24/1000</f>
        <v>498</v>
      </c>
      <c r="G192" s="47">
        <v>509.63299999999998</v>
      </c>
      <c r="H192" s="47">
        <v>509.63299999999998</v>
      </c>
      <c r="I192" s="47">
        <v>519.63300000000004</v>
      </c>
      <c r="J192" s="47">
        <v>519.63300000000004</v>
      </c>
    </row>
    <row r="193" spans="1:10">
      <c r="A193" s="87"/>
      <c r="B193" s="87"/>
      <c r="C193" s="109"/>
      <c r="D193" s="9" t="s">
        <v>126</v>
      </c>
      <c r="E193" s="48">
        <v>145.97667999999999</v>
      </c>
      <c r="F193" s="48">
        <f>'[3]2019'!$M$25/1000</f>
        <v>151</v>
      </c>
      <c r="G193" s="48">
        <v>150.36699999999999</v>
      </c>
      <c r="H193" s="48">
        <v>150.36699999999999</v>
      </c>
      <c r="I193" s="48">
        <v>157.369</v>
      </c>
      <c r="J193" s="48">
        <v>157.369</v>
      </c>
    </row>
    <row r="194" spans="1:10" ht="21" customHeight="1">
      <c r="A194" s="87"/>
      <c r="B194" s="87"/>
      <c r="C194" s="109"/>
      <c r="D194" s="9" t="s">
        <v>123</v>
      </c>
      <c r="E194" s="48">
        <v>18.464770000000001</v>
      </c>
      <c r="F194" s="48">
        <f>'[3]2019'!$M$26/1000</f>
        <v>20</v>
      </c>
      <c r="G194" s="48">
        <v>20</v>
      </c>
      <c r="H194" s="48">
        <v>20</v>
      </c>
      <c r="I194" s="48">
        <v>40.563000000000002</v>
      </c>
      <c r="J194" s="48">
        <v>40.563000000000002</v>
      </c>
    </row>
    <row r="195" spans="1:10" ht="21" customHeight="1">
      <c r="A195" s="87"/>
      <c r="B195" s="87"/>
      <c r="C195" s="109"/>
      <c r="D195" s="9" t="s">
        <v>173</v>
      </c>
      <c r="E195" s="48">
        <v>14.5</v>
      </c>
      <c r="F195" s="48">
        <v>2</v>
      </c>
      <c r="G195" s="48"/>
      <c r="H195" s="48"/>
      <c r="I195" s="48"/>
      <c r="J195" s="48"/>
    </row>
    <row r="196" spans="1:10" ht="22.5" customHeight="1">
      <c r="A196" s="87"/>
      <c r="B196" s="87"/>
      <c r="C196" s="109"/>
      <c r="D196" s="9" t="s">
        <v>124</v>
      </c>
      <c r="E196" s="48">
        <f>1.25</f>
        <v>1.25</v>
      </c>
      <c r="F196" s="48">
        <v>6</v>
      </c>
      <c r="G196" s="48">
        <v>6</v>
      </c>
      <c r="H196" s="48">
        <v>6</v>
      </c>
      <c r="I196" s="48">
        <v>5.7930000000000001</v>
      </c>
      <c r="J196" s="48">
        <v>5.7930000000000001</v>
      </c>
    </row>
    <row r="197" spans="1:10" ht="21.75" customHeight="1">
      <c r="A197" s="87"/>
      <c r="B197" s="87"/>
      <c r="C197" s="109"/>
      <c r="D197" s="9" t="s">
        <v>67</v>
      </c>
      <c r="E197" s="48">
        <f>40.399+14</f>
        <v>54.399000000000001</v>
      </c>
      <c r="F197" s="48"/>
      <c r="G197" s="48">
        <v>27</v>
      </c>
      <c r="H197" s="48">
        <v>27</v>
      </c>
      <c r="I197" s="48">
        <v>28.974</v>
      </c>
      <c r="J197" s="48">
        <v>28.974</v>
      </c>
    </row>
    <row r="198" spans="1:10" ht="21.75" customHeight="1">
      <c r="A198" s="87"/>
      <c r="B198" s="87"/>
      <c r="C198" s="109"/>
      <c r="D198" s="9" t="s">
        <v>68</v>
      </c>
      <c r="E198" s="48">
        <v>3.6749999999999998</v>
      </c>
      <c r="F198" s="48">
        <v>50</v>
      </c>
      <c r="G198" s="48">
        <v>50</v>
      </c>
      <c r="H198" s="48">
        <v>50</v>
      </c>
      <c r="I198" s="48">
        <v>69.536000000000001</v>
      </c>
      <c r="J198" s="48">
        <v>69.536000000000001</v>
      </c>
    </row>
    <row r="199" spans="1:10" ht="21.75" customHeight="1">
      <c r="A199" s="88"/>
      <c r="B199" s="88"/>
      <c r="C199" s="110"/>
      <c r="D199" s="9" t="s">
        <v>69</v>
      </c>
      <c r="E199" s="48">
        <f>38.91017+4.1925+8.06135</f>
        <v>51.164020000000001</v>
      </c>
      <c r="F199" s="48">
        <v>30</v>
      </c>
      <c r="G199" s="48">
        <v>30</v>
      </c>
      <c r="H199" s="48">
        <v>30</v>
      </c>
      <c r="I199" s="48">
        <v>30.132000000000001</v>
      </c>
      <c r="J199" s="48">
        <v>30.132000000000001</v>
      </c>
    </row>
    <row r="200" spans="1:10" ht="21.75" customHeight="1">
      <c r="A200" s="74"/>
      <c r="B200" s="74"/>
      <c r="C200" s="75"/>
      <c r="D200" s="9" t="s">
        <v>178</v>
      </c>
      <c r="E200" s="48"/>
      <c r="F200" s="48">
        <v>34</v>
      </c>
      <c r="G200" s="48">
        <v>17</v>
      </c>
      <c r="H200" s="48">
        <v>17</v>
      </c>
      <c r="I200" s="48"/>
      <c r="J200" s="48"/>
    </row>
    <row r="201" spans="1:10" ht="30" customHeight="1">
      <c r="A201" s="105" t="s">
        <v>33</v>
      </c>
      <c r="B201" s="107" t="s">
        <v>32</v>
      </c>
      <c r="C201" s="6" t="s">
        <v>5</v>
      </c>
      <c r="D201" s="14"/>
      <c r="E201" s="44">
        <f t="shared" ref="E201:J201" si="38">E203</f>
        <v>3865.5</v>
      </c>
      <c r="F201" s="44">
        <f t="shared" si="38"/>
        <v>0</v>
      </c>
      <c r="G201" s="44">
        <f t="shared" si="38"/>
        <v>0</v>
      </c>
      <c r="H201" s="44">
        <f t="shared" si="38"/>
        <v>0</v>
      </c>
      <c r="I201" s="44">
        <f t="shared" si="38"/>
        <v>5412</v>
      </c>
      <c r="J201" s="44">
        <f t="shared" si="38"/>
        <v>5412</v>
      </c>
    </row>
    <row r="202" spans="1:10">
      <c r="A202" s="106"/>
      <c r="B202" s="106"/>
      <c r="C202" s="6" t="s">
        <v>6</v>
      </c>
      <c r="D202" s="6"/>
      <c r="E202" s="67"/>
      <c r="F202" s="67"/>
      <c r="G202" s="46"/>
      <c r="H202" s="67"/>
      <c r="I202" s="67"/>
      <c r="J202" s="67"/>
    </row>
    <row r="203" spans="1:10" ht="49.5" customHeight="1">
      <c r="A203" s="106"/>
      <c r="B203" s="106"/>
      <c r="C203" s="6" t="s">
        <v>7</v>
      </c>
      <c r="D203" s="9" t="s">
        <v>70</v>
      </c>
      <c r="E203" s="47">
        <v>3865.5</v>
      </c>
      <c r="F203" s="47"/>
      <c r="G203" s="47"/>
      <c r="H203" s="47"/>
      <c r="I203" s="47">
        <v>5412</v>
      </c>
      <c r="J203" s="47">
        <v>5412</v>
      </c>
    </row>
    <row r="204" spans="1:10">
      <c r="A204" s="105" t="s">
        <v>34</v>
      </c>
      <c r="B204" s="107" t="s">
        <v>36</v>
      </c>
      <c r="C204" s="6" t="s">
        <v>5</v>
      </c>
      <c r="D204" s="14"/>
      <c r="E204" s="44">
        <f t="shared" ref="E204:J204" si="39">E206</f>
        <v>4236.8</v>
      </c>
      <c r="F204" s="44">
        <f t="shared" si="39"/>
        <v>0</v>
      </c>
      <c r="G204" s="44">
        <f t="shared" si="39"/>
        <v>0</v>
      </c>
      <c r="H204" s="44">
        <f t="shared" si="39"/>
        <v>0</v>
      </c>
      <c r="I204" s="44">
        <f t="shared" si="39"/>
        <v>4728</v>
      </c>
      <c r="J204" s="44">
        <f t="shared" si="39"/>
        <v>4728</v>
      </c>
    </row>
    <row r="205" spans="1:10">
      <c r="A205" s="106"/>
      <c r="B205" s="106"/>
      <c r="C205" s="6" t="s">
        <v>6</v>
      </c>
      <c r="D205" s="6"/>
      <c r="E205" s="67"/>
      <c r="F205" s="67"/>
      <c r="G205" s="46"/>
      <c r="H205" s="67"/>
      <c r="I205" s="67"/>
      <c r="J205" s="67"/>
    </row>
    <row r="206" spans="1:10" ht="45">
      <c r="A206" s="106"/>
      <c r="B206" s="106"/>
      <c r="C206" s="6" t="s">
        <v>7</v>
      </c>
      <c r="D206" s="9" t="s">
        <v>71</v>
      </c>
      <c r="E206" s="47">
        <v>4236.8</v>
      </c>
      <c r="F206" s="47"/>
      <c r="G206" s="47"/>
      <c r="H206" s="47"/>
      <c r="I206" s="47">
        <v>4728</v>
      </c>
      <c r="J206" s="47">
        <v>4728</v>
      </c>
    </row>
    <row r="207" spans="1:10">
      <c r="A207" s="105" t="s">
        <v>35</v>
      </c>
      <c r="B207" s="107" t="s">
        <v>37</v>
      </c>
      <c r="C207" s="6" t="s">
        <v>5</v>
      </c>
      <c r="D207" s="14"/>
      <c r="E207" s="44">
        <f t="shared" ref="E207:J207" si="40">E209</f>
        <v>365.9</v>
      </c>
      <c r="F207" s="44">
        <f t="shared" si="40"/>
        <v>378.7</v>
      </c>
      <c r="G207" s="44">
        <f t="shared" si="40"/>
        <v>356.7</v>
      </c>
      <c r="H207" s="44">
        <f t="shared" si="40"/>
        <v>351.6</v>
      </c>
      <c r="I207" s="44">
        <f t="shared" si="40"/>
        <v>536.20000000000005</v>
      </c>
      <c r="J207" s="44">
        <f t="shared" si="40"/>
        <v>536.20000000000005</v>
      </c>
    </row>
    <row r="208" spans="1:10">
      <c r="A208" s="106"/>
      <c r="B208" s="106"/>
      <c r="C208" s="6" t="s">
        <v>6</v>
      </c>
      <c r="D208" s="6"/>
      <c r="E208" s="67"/>
      <c r="F208" s="67"/>
      <c r="G208" s="46"/>
      <c r="H208" s="67"/>
      <c r="I208" s="67"/>
      <c r="J208" s="67"/>
    </row>
    <row r="209" spans="1:10" ht="45">
      <c r="A209" s="106"/>
      <c r="B209" s="106"/>
      <c r="C209" s="6" t="s">
        <v>7</v>
      </c>
      <c r="D209" s="9" t="s">
        <v>72</v>
      </c>
      <c r="E209" s="47">
        <v>365.9</v>
      </c>
      <c r="F209" s="47">
        <v>378.7</v>
      </c>
      <c r="G209" s="47">
        <v>356.7</v>
      </c>
      <c r="H209" s="47">
        <v>351.6</v>
      </c>
      <c r="I209" s="47">
        <v>536.20000000000005</v>
      </c>
      <c r="J209" s="47">
        <v>536.20000000000005</v>
      </c>
    </row>
    <row r="210" spans="1:10">
      <c r="A210" s="105" t="s">
        <v>184</v>
      </c>
      <c r="B210" s="107" t="s">
        <v>32</v>
      </c>
      <c r="C210" s="6" t="s">
        <v>5</v>
      </c>
      <c r="D210" s="14"/>
      <c r="E210" s="44">
        <f t="shared" ref="E210:J210" si="41">E212</f>
        <v>4074</v>
      </c>
      <c r="F210" s="44">
        <f t="shared" si="41"/>
        <v>12460</v>
      </c>
      <c r="G210" s="44">
        <f t="shared" si="41"/>
        <v>12290</v>
      </c>
      <c r="H210" s="44">
        <f t="shared" si="41"/>
        <v>11640</v>
      </c>
      <c r="I210" s="44">
        <f t="shared" si="41"/>
        <v>4418</v>
      </c>
      <c r="J210" s="44">
        <f t="shared" si="41"/>
        <v>4418</v>
      </c>
    </row>
    <row r="211" spans="1:10">
      <c r="A211" s="106"/>
      <c r="B211" s="106"/>
      <c r="C211" s="6" t="s">
        <v>6</v>
      </c>
      <c r="D211" s="6"/>
      <c r="E211" s="67"/>
      <c r="F211" s="67"/>
      <c r="G211" s="46"/>
      <c r="H211" s="67"/>
      <c r="I211" s="67"/>
      <c r="J211" s="67"/>
    </row>
    <row r="212" spans="1:10" ht="45">
      <c r="A212" s="106"/>
      <c r="B212" s="106"/>
      <c r="C212" s="6" t="s">
        <v>7</v>
      </c>
      <c r="D212" s="9" t="s">
        <v>73</v>
      </c>
      <c r="E212" s="47">
        <v>4074</v>
      </c>
      <c r="F212" s="47">
        <v>12460</v>
      </c>
      <c r="G212" s="47">
        <v>12290</v>
      </c>
      <c r="H212" s="47">
        <v>11640</v>
      </c>
      <c r="I212" s="47">
        <v>4418</v>
      </c>
      <c r="J212" s="47">
        <v>4418</v>
      </c>
    </row>
    <row r="213" spans="1:10">
      <c r="A213" s="85" t="s">
        <v>185</v>
      </c>
      <c r="B213" s="101" t="s">
        <v>19</v>
      </c>
      <c r="C213" s="14" t="s">
        <v>5</v>
      </c>
      <c r="D213" s="16" t="s">
        <v>39</v>
      </c>
      <c r="E213" s="44">
        <f t="shared" ref="E213:J213" si="42">E215</f>
        <v>95.1</v>
      </c>
      <c r="F213" s="44">
        <f>F215</f>
        <v>103</v>
      </c>
      <c r="G213" s="44">
        <f t="shared" si="42"/>
        <v>103</v>
      </c>
      <c r="H213" s="44">
        <f t="shared" si="42"/>
        <v>103</v>
      </c>
      <c r="I213" s="44">
        <f t="shared" si="42"/>
        <v>85</v>
      </c>
      <c r="J213" s="44">
        <f t="shared" si="42"/>
        <v>85</v>
      </c>
    </row>
    <row r="214" spans="1:10">
      <c r="A214" s="87"/>
      <c r="B214" s="103"/>
      <c r="C214" s="7" t="s">
        <v>6</v>
      </c>
      <c r="D214" s="28"/>
      <c r="E214" s="67"/>
      <c r="F214" s="67"/>
      <c r="G214" s="31"/>
      <c r="H214" s="67"/>
      <c r="I214" s="67"/>
      <c r="J214" s="67"/>
    </row>
    <row r="215" spans="1:10" ht="45">
      <c r="A215" s="88"/>
      <c r="B215" s="104"/>
      <c r="C215" s="7" t="s">
        <v>7</v>
      </c>
      <c r="D215" s="9" t="s">
        <v>74</v>
      </c>
      <c r="E215" s="31">
        <v>95.1</v>
      </c>
      <c r="F215" s="31">
        <v>103</v>
      </c>
      <c r="G215" s="31">
        <v>103</v>
      </c>
      <c r="H215" s="31">
        <v>103</v>
      </c>
      <c r="I215" s="31">
        <v>85</v>
      </c>
      <c r="J215" s="31">
        <v>85</v>
      </c>
    </row>
    <row r="216" spans="1:10">
      <c r="G216" s="57"/>
    </row>
    <row r="217" spans="1:10" ht="15.75">
      <c r="A217" s="49" t="s">
        <v>57</v>
      </c>
      <c r="B217" s="49"/>
      <c r="C217" s="49"/>
      <c r="D217" s="49"/>
      <c r="E217" s="50"/>
      <c r="F217" s="50" t="s">
        <v>63</v>
      </c>
      <c r="G217" s="22"/>
      <c r="H217" s="29"/>
      <c r="I217" s="22"/>
      <c r="J217" s="22"/>
    </row>
    <row r="218" spans="1:10" ht="15.75">
      <c r="A218" s="3"/>
      <c r="D218" s="29"/>
      <c r="E218" s="22"/>
      <c r="F218" s="22"/>
      <c r="G218" s="22"/>
      <c r="H218" s="22"/>
      <c r="I218" s="22"/>
      <c r="J218" s="22"/>
    </row>
    <row r="219" spans="1:10" ht="15.75">
      <c r="A219" s="3"/>
      <c r="E219" s="22"/>
      <c r="F219" s="22"/>
    </row>
    <row r="220" spans="1:10">
      <c r="E220" s="22"/>
    </row>
    <row r="221" spans="1:10">
      <c r="E221" s="22"/>
    </row>
  </sheetData>
  <mergeCells count="58">
    <mergeCell ref="F1:G1"/>
    <mergeCell ref="A7:A8"/>
    <mergeCell ref="B7:B8"/>
    <mergeCell ref="C7:C8"/>
    <mergeCell ref="D7:D8"/>
    <mergeCell ref="E7:J7"/>
    <mergeCell ref="A4:J5"/>
    <mergeCell ref="A10:A12"/>
    <mergeCell ref="B10:B12"/>
    <mergeCell ref="A13:A15"/>
    <mergeCell ref="B13:B15"/>
    <mergeCell ref="A16:A24"/>
    <mergeCell ref="B16:B24"/>
    <mergeCell ref="A80:A89"/>
    <mergeCell ref="B80:B89"/>
    <mergeCell ref="C84:C89"/>
    <mergeCell ref="C18:C24"/>
    <mergeCell ref="A25:A36"/>
    <mergeCell ref="B25:B36"/>
    <mergeCell ref="C27:C36"/>
    <mergeCell ref="A37:A40"/>
    <mergeCell ref="B37:B40"/>
    <mergeCell ref="A41:A79"/>
    <mergeCell ref="B41:B64"/>
    <mergeCell ref="C45:C64"/>
    <mergeCell ref="B65:B79"/>
    <mergeCell ref="C68:C79"/>
    <mergeCell ref="A127:A145"/>
    <mergeCell ref="B127:B145"/>
    <mergeCell ref="C129:C145"/>
    <mergeCell ref="A91:A93"/>
    <mergeCell ref="B91:B93"/>
    <mergeCell ref="A94:A109"/>
    <mergeCell ref="B94:B109"/>
    <mergeCell ref="C99:C109"/>
    <mergeCell ref="A110:A113"/>
    <mergeCell ref="B110:B113"/>
    <mergeCell ref="A114:A123"/>
    <mergeCell ref="B114:B123"/>
    <mergeCell ref="C118:C123"/>
    <mergeCell ref="A124:A126"/>
    <mergeCell ref="B124:B126"/>
    <mergeCell ref="A146:A189"/>
    <mergeCell ref="B146:B189"/>
    <mergeCell ref="C148:C189"/>
    <mergeCell ref="A190:A199"/>
    <mergeCell ref="B190:B199"/>
    <mergeCell ref="C192:C199"/>
    <mergeCell ref="A213:A215"/>
    <mergeCell ref="B213:B215"/>
    <mergeCell ref="A210:A212"/>
    <mergeCell ref="B210:B212"/>
    <mergeCell ref="A201:A203"/>
    <mergeCell ref="B201:B203"/>
    <mergeCell ref="A204:A206"/>
    <mergeCell ref="B204:B206"/>
    <mergeCell ref="A207:A209"/>
    <mergeCell ref="B207:B209"/>
  </mergeCells>
  <pageMargins left="0.15748031496062992" right="0.15748031496062992" top="0.37" bottom="0.15748031496062992" header="0.15748031496062992" footer="0.15748031496062992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2019-01-18T12:41:44Z</dcterms:modified>
</cp:coreProperties>
</file>