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405" windowWidth="15120" windowHeight="7710"/>
  </bookViews>
  <sheets>
    <sheet name="таб 2 (2)" sheetId="12" r:id="rId1"/>
    <sheet name="2016" sheetId="11" r:id="rId2"/>
  </sheets>
  <calcPr calcId="152511"/>
</workbook>
</file>

<file path=xl/calcChain.xml><?xml version="1.0" encoding="utf-8"?>
<calcChain xmlns="http://schemas.openxmlformats.org/spreadsheetml/2006/main">
  <c r="K9" i="11" l="1"/>
  <c r="H58" i="11" l="1"/>
  <c r="I58" i="11"/>
  <c r="J58" i="11"/>
  <c r="F50" i="12" l="1"/>
  <c r="H75" i="12"/>
  <c r="I75" i="12"/>
  <c r="H40" i="12"/>
  <c r="I40" i="12"/>
  <c r="H35" i="12"/>
  <c r="I35" i="12"/>
  <c r="H30" i="12"/>
  <c r="I30" i="12"/>
  <c r="J21" i="12"/>
  <c r="J22" i="12"/>
  <c r="J23" i="12"/>
  <c r="J26" i="12"/>
  <c r="J25" i="12" s="1"/>
  <c r="J27" i="12"/>
  <c r="J28" i="12"/>
  <c r="J29" i="12"/>
  <c r="J31" i="12"/>
  <c r="J32" i="12"/>
  <c r="J33" i="12"/>
  <c r="J34" i="12"/>
  <c r="J39" i="12"/>
  <c r="J41" i="12"/>
  <c r="J43" i="12"/>
  <c r="J44" i="12"/>
  <c r="J51" i="12"/>
  <c r="J52" i="12"/>
  <c r="J54" i="12"/>
  <c r="J61" i="12"/>
  <c r="J62" i="12"/>
  <c r="J64" i="12"/>
  <c r="J71" i="12"/>
  <c r="J72" i="12"/>
  <c r="J74" i="12"/>
  <c r="J76" i="12"/>
  <c r="J77" i="12"/>
  <c r="J78" i="12"/>
  <c r="J79" i="12"/>
  <c r="J81" i="12"/>
  <c r="J83" i="12"/>
  <c r="J84" i="12"/>
  <c r="J86" i="12"/>
  <c r="J88" i="12"/>
  <c r="J89" i="12"/>
  <c r="J91" i="12"/>
  <c r="J93" i="12"/>
  <c r="J94" i="12"/>
  <c r="J97" i="12"/>
  <c r="J98" i="12"/>
  <c r="J99" i="12"/>
  <c r="J101" i="12"/>
  <c r="J103" i="12"/>
  <c r="J104" i="12"/>
  <c r="J106" i="12"/>
  <c r="J108" i="12"/>
  <c r="J109" i="12"/>
  <c r="J111" i="12"/>
  <c r="J113" i="12"/>
  <c r="J114" i="12"/>
  <c r="J116" i="12"/>
  <c r="J118" i="12"/>
  <c r="J119" i="12"/>
  <c r="H16" i="12"/>
  <c r="I16" i="12"/>
  <c r="H17" i="12"/>
  <c r="I17" i="12"/>
  <c r="H18" i="12"/>
  <c r="I18" i="12"/>
  <c r="H19" i="12"/>
  <c r="I19" i="12"/>
  <c r="G16" i="12"/>
  <c r="G17" i="12"/>
  <c r="G18" i="12"/>
  <c r="G19" i="12"/>
  <c r="G69" i="12"/>
  <c r="G87" i="12"/>
  <c r="G92" i="12"/>
  <c r="G96" i="12"/>
  <c r="G102" i="12"/>
  <c r="G107" i="12"/>
  <c r="G112" i="12"/>
  <c r="G117" i="12"/>
  <c r="F17" i="12"/>
  <c r="F18" i="12"/>
  <c r="F19" i="12"/>
  <c r="F102" i="12"/>
  <c r="F107" i="12"/>
  <c r="F112" i="12"/>
  <c r="F117" i="12"/>
  <c r="G48" i="12"/>
  <c r="F48" i="12"/>
  <c r="G50" i="11"/>
  <c r="H42" i="11"/>
  <c r="H92" i="11"/>
  <c r="H85" i="11" s="1"/>
  <c r="I92" i="11"/>
  <c r="I85" i="11" s="1"/>
  <c r="J92" i="11"/>
  <c r="J85" i="11"/>
  <c r="H193" i="11"/>
  <c r="H108" i="11"/>
  <c r="G67" i="12" l="1"/>
  <c r="J117" i="12"/>
  <c r="J75" i="12"/>
  <c r="J30" i="12"/>
  <c r="H74" i="11"/>
  <c r="G57" i="11" l="1"/>
  <c r="G53" i="11"/>
  <c r="G114" i="11"/>
  <c r="G69" i="11"/>
  <c r="G82" i="11" l="1"/>
  <c r="G38" i="11"/>
  <c r="G51" i="11"/>
  <c r="G92" i="11"/>
  <c r="G41" i="11"/>
  <c r="G74" i="11" l="1"/>
  <c r="G46" i="11"/>
  <c r="G178" i="11"/>
  <c r="F82" i="12" s="1"/>
  <c r="J82" i="12" s="1"/>
  <c r="G131" i="11"/>
  <c r="G130" i="11" s="1"/>
  <c r="G121" i="11" s="1"/>
  <c r="F73" i="12" s="1"/>
  <c r="G116" i="11"/>
  <c r="G117" i="11"/>
  <c r="G108" i="11" l="1"/>
  <c r="G21" i="11"/>
  <c r="G71" i="11" s="1"/>
  <c r="G58" i="11" s="1"/>
  <c r="G52" i="11"/>
  <c r="G42" i="11" s="1"/>
  <c r="G37" i="11"/>
  <c r="G39" i="11" l="1"/>
  <c r="G24" i="11"/>
  <c r="G22" i="11" s="1"/>
  <c r="H107" i="11" l="1"/>
  <c r="H104" i="11" s="1"/>
  <c r="I115" i="12" l="1"/>
  <c r="H115" i="12"/>
  <c r="G115" i="12"/>
  <c r="F115" i="12"/>
  <c r="E115" i="12"/>
  <c r="D115" i="12"/>
  <c r="F110" i="12"/>
  <c r="E112" i="12"/>
  <c r="J112" i="12" s="1"/>
  <c r="I110" i="12"/>
  <c r="H110" i="12"/>
  <c r="G110" i="12"/>
  <c r="E110" i="12"/>
  <c r="D110" i="12"/>
  <c r="F105" i="12"/>
  <c r="E107" i="12"/>
  <c r="J107" i="12" s="1"/>
  <c r="I105" i="12"/>
  <c r="H105" i="12"/>
  <c r="G105" i="12"/>
  <c r="E105" i="12"/>
  <c r="D105" i="12"/>
  <c r="F100" i="12"/>
  <c r="E102" i="12"/>
  <c r="J102" i="12" s="1"/>
  <c r="I100" i="12"/>
  <c r="H100" i="12"/>
  <c r="G100" i="12"/>
  <c r="E100" i="12"/>
  <c r="D100" i="12"/>
  <c r="F96" i="12"/>
  <c r="F95" i="12" s="1"/>
  <c r="E96" i="12"/>
  <c r="I95" i="12"/>
  <c r="H95" i="12"/>
  <c r="G95" i="12"/>
  <c r="E95" i="12"/>
  <c r="D95" i="12"/>
  <c r="F92" i="12"/>
  <c r="F90" i="12" s="1"/>
  <c r="E92" i="12"/>
  <c r="I90" i="12"/>
  <c r="H90" i="12"/>
  <c r="G90" i="12"/>
  <c r="E90" i="12"/>
  <c r="D90" i="12"/>
  <c r="F87" i="12"/>
  <c r="F85" i="12" s="1"/>
  <c r="E87" i="12"/>
  <c r="I85" i="12"/>
  <c r="H85" i="12"/>
  <c r="G85" i="12"/>
  <c r="E85" i="12"/>
  <c r="D85" i="12"/>
  <c r="I80" i="12"/>
  <c r="H80" i="12"/>
  <c r="G80" i="12"/>
  <c r="E80" i="12"/>
  <c r="D80" i="12"/>
  <c r="G75" i="12"/>
  <c r="F75" i="12"/>
  <c r="E75" i="12"/>
  <c r="D75" i="12"/>
  <c r="I70" i="12"/>
  <c r="H70" i="12"/>
  <c r="F70" i="12"/>
  <c r="E70" i="12"/>
  <c r="D70" i="12"/>
  <c r="I69" i="12"/>
  <c r="H69" i="12"/>
  <c r="F69" i="12"/>
  <c r="E69" i="12"/>
  <c r="D69" i="12"/>
  <c r="J69" i="12" s="1"/>
  <c r="I68" i="12"/>
  <c r="H68" i="12"/>
  <c r="F68" i="12"/>
  <c r="E68" i="12"/>
  <c r="D68" i="12"/>
  <c r="I67" i="12"/>
  <c r="H67" i="12"/>
  <c r="D67" i="12"/>
  <c r="I66" i="12"/>
  <c r="H66" i="12"/>
  <c r="H65" i="12" s="1"/>
  <c r="G66" i="12"/>
  <c r="F66" i="12"/>
  <c r="D66" i="12"/>
  <c r="E63" i="12"/>
  <c r="J63" i="12" s="1"/>
  <c r="I60" i="12"/>
  <c r="H60" i="12"/>
  <c r="G60" i="12"/>
  <c r="F60" i="12"/>
  <c r="D60" i="12"/>
  <c r="I59" i="12"/>
  <c r="H59" i="12"/>
  <c r="G59" i="12"/>
  <c r="F59" i="12"/>
  <c r="E59" i="12"/>
  <c r="D59" i="12"/>
  <c r="I58" i="12"/>
  <c r="H58" i="12"/>
  <c r="G58" i="12"/>
  <c r="F58" i="12"/>
  <c r="F13" i="12" s="1"/>
  <c r="D58" i="12"/>
  <c r="I57" i="12"/>
  <c r="H57" i="12"/>
  <c r="G57" i="12"/>
  <c r="F57" i="12"/>
  <c r="E57" i="12"/>
  <c r="D57" i="12"/>
  <c r="I56" i="12"/>
  <c r="I55" i="12" s="1"/>
  <c r="H56" i="12"/>
  <c r="H55" i="12" s="1"/>
  <c r="G56" i="12"/>
  <c r="F56" i="12"/>
  <c r="E56" i="12"/>
  <c r="D56" i="12"/>
  <c r="G55" i="12"/>
  <c r="F55" i="12"/>
  <c r="D55" i="12"/>
  <c r="E53" i="12"/>
  <c r="I50" i="12"/>
  <c r="H50" i="12"/>
  <c r="G50" i="12"/>
  <c r="D50" i="12"/>
  <c r="I49" i="12"/>
  <c r="H49" i="12"/>
  <c r="G49" i="12"/>
  <c r="F49" i="12"/>
  <c r="E49" i="12"/>
  <c r="E14" i="12" s="1"/>
  <c r="I48" i="12"/>
  <c r="I13" i="12" s="1"/>
  <c r="H48" i="12"/>
  <c r="D48" i="12"/>
  <c r="I47" i="12"/>
  <c r="H47" i="12"/>
  <c r="G47" i="12"/>
  <c r="F47" i="12"/>
  <c r="E47" i="12"/>
  <c r="I46" i="12"/>
  <c r="H46" i="12"/>
  <c r="G46" i="12"/>
  <c r="G11" i="12" s="1"/>
  <c r="F46" i="12"/>
  <c r="E46" i="12"/>
  <c r="D46" i="12"/>
  <c r="D45" i="12" s="1"/>
  <c r="E42" i="12"/>
  <c r="J42" i="12" s="1"/>
  <c r="J40" i="12" s="1"/>
  <c r="G40" i="12"/>
  <c r="F40" i="12"/>
  <c r="D40" i="12"/>
  <c r="F35" i="12"/>
  <c r="E38" i="12"/>
  <c r="J38" i="12" s="1"/>
  <c r="J18" i="12" s="1"/>
  <c r="E37" i="12"/>
  <c r="E36" i="12"/>
  <c r="J36" i="12" s="1"/>
  <c r="G35" i="12"/>
  <c r="D35" i="12"/>
  <c r="G30" i="12"/>
  <c r="F30" i="12"/>
  <c r="E30" i="12"/>
  <c r="D30" i="12"/>
  <c r="I25" i="12"/>
  <c r="H25" i="12"/>
  <c r="G25" i="12"/>
  <c r="F25" i="12"/>
  <c r="E25" i="12"/>
  <c r="D25" i="12"/>
  <c r="E24" i="12"/>
  <c r="I20" i="12"/>
  <c r="H20" i="12"/>
  <c r="G20" i="12"/>
  <c r="F20" i="12"/>
  <c r="D20" i="12"/>
  <c r="E19" i="12"/>
  <c r="D19" i="12"/>
  <c r="D18" i="12"/>
  <c r="D17" i="12"/>
  <c r="G15" i="12"/>
  <c r="F16" i="12"/>
  <c r="F15" i="12" s="1"/>
  <c r="E16" i="12"/>
  <c r="D16" i="12"/>
  <c r="I15" i="12"/>
  <c r="E18" i="12" l="1"/>
  <c r="E40" i="12"/>
  <c r="H12" i="12"/>
  <c r="F14" i="12"/>
  <c r="H14" i="12"/>
  <c r="E58" i="12"/>
  <c r="E55" i="12" s="1"/>
  <c r="E60" i="12"/>
  <c r="J60" i="12" s="1"/>
  <c r="J85" i="12"/>
  <c r="J92" i="12"/>
  <c r="J95" i="12"/>
  <c r="J105" i="12"/>
  <c r="J115" i="12"/>
  <c r="D13" i="12"/>
  <c r="J46" i="12"/>
  <c r="J47" i="12"/>
  <c r="G12" i="12"/>
  <c r="I12" i="12"/>
  <c r="H13" i="12"/>
  <c r="J49" i="12"/>
  <c r="G14" i="12"/>
  <c r="I14" i="12"/>
  <c r="J56" i="12"/>
  <c r="J57" i="12"/>
  <c r="J58" i="12"/>
  <c r="J59" i="12"/>
  <c r="I65" i="12"/>
  <c r="J80" i="12"/>
  <c r="J87" i="12"/>
  <c r="J90" i="12"/>
  <c r="J100" i="12"/>
  <c r="J110" i="12"/>
  <c r="E20" i="12"/>
  <c r="J24" i="12"/>
  <c r="J16" i="12"/>
  <c r="E17" i="12"/>
  <c r="J37" i="12"/>
  <c r="J17" i="12" s="1"/>
  <c r="H45" i="12"/>
  <c r="H11" i="12"/>
  <c r="I45" i="12"/>
  <c r="I11" i="12"/>
  <c r="E50" i="12"/>
  <c r="J53" i="12"/>
  <c r="D65" i="12"/>
  <c r="E66" i="12"/>
  <c r="J66" i="12" s="1"/>
  <c r="J96" i="12"/>
  <c r="E11" i="12"/>
  <c r="J50" i="12"/>
  <c r="F67" i="12"/>
  <c r="F65" i="12" s="1"/>
  <c r="E67" i="12"/>
  <c r="H15" i="12"/>
  <c r="F45" i="12"/>
  <c r="I10" i="12"/>
  <c r="D14" i="12"/>
  <c r="D15" i="12"/>
  <c r="E35" i="12"/>
  <c r="D11" i="12"/>
  <c r="F11" i="12"/>
  <c r="G45" i="12"/>
  <c r="E48" i="12"/>
  <c r="E15" i="12"/>
  <c r="E12" i="12"/>
  <c r="H10" i="12"/>
  <c r="D12" i="12"/>
  <c r="E13" i="12" l="1"/>
  <c r="E10" i="12" s="1"/>
  <c r="J14" i="12"/>
  <c r="J11" i="12"/>
  <c r="J55" i="12"/>
  <c r="E65" i="12"/>
  <c r="J67" i="12"/>
  <c r="J19" i="12"/>
  <c r="J20" i="12"/>
  <c r="J48" i="12"/>
  <c r="J35" i="12"/>
  <c r="F12" i="12"/>
  <c r="F10" i="12" s="1"/>
  <c r="D10" i="12"/>
  <c r="E45" i="12"/>
  <c r="F90" i="11"/>
  <c r="J12" i="12" l="1"/>
  <c r="J45" i="12"/>
  <c r="J15" i="12"/>
  <c r="F50" i="11"/>
  <c r="F84" i="11"/>
  <c r="F82" i="11"/>
  <c r="F46" i="11" l="1"/>
  <c r="G196" i="11" l="1"/>
  <c r="F117" i="11" l="1"/>
  <c r="F115" i="11"/>
  <c r="F68" i="11"/>
  <c r="F58" i="11" s="1"/>
  <c r="E74" i="11"/>
  <c r="F76" i="11"/>
  <c r="F52" i="11"/>
  <c r="F51" i="11"/>
  <c r="F108" i="11" l="1"/>
  <c r="F107" i="11" s="1"/>
  <c r="F42" i="11"/>
  <c r="F74" i="11"/>
  <c r="F33" i="11"/>
  <c r="F30" i="11"/>
  <c r="F34" i="11"/>
  <c r="F31" i="11"/>
  <c r="F26" i="11"/>
  <c r="F25" i="11"/>
  <c r="E92" i="11" l="1"/>
  <c r="J205" i="11"/>
  <c r="I205" i="11"/>
  <c r="H205" i="11"/>
  <c r="G205" i="11"/>
  <c r="F205" i="11"/>
  <c r="E205" i="11"/>
  <c r="J202" i="11"/>
  <c r="I202" i="11"/>
  <c r="H202" i="11"/>
  <c r="G202" i="11"/>
  <c r="F202" i="11"/>
  <c r="E202" i="11"/>
  <c r="J199" i="11"/>
  <c r="I199" i="11"/>
  <c r="H199" i="11"/>
  <c r="G199" i="11"/>
  <c r="F199" i="11"/>
  <c r="E199" i="11"/>
  <c r="J196" i="11"/>
  <c r="I196" i="11"/>
  <c r="H196" i="11"/>
  <c r="F196" i="11"/>
  <c r="E196" i="11"/>
  <c r="J193" i="11"/>
  <c r="I193" i="11"/>
  <c r="G193" i="11"/>
  <c r="F193" i="11"/>
  <c r="E193" i="11"/>
  <c r="J190" i="11"/>
  <c r="I190" i="11"/>
  <c r="H190" i="11"/>
  <c r="G190" i="11"/>
  <c r="F190" i="11"/>
  <c r="E190" i="11"/>
  <c r="J187" i="11"/>
  <c r="I187" i="11"/>
  <c r="H187" i="11"/>
  <c r="G187" i="11"/>
  <c r="F187" i="11"/>
  <c r="E187" i="11"/>
  <c r="J178" i="11"/>
  <c r="I178" i="11"/>
  <c r="H178" i="11"/>
  <c r="F178" i="11"/>
  <c r="E178" i="11"/>
  <c r="J164" i="11"/>
  <c r="I164" i="11"/>
  <c r="H164" i="11"/>
  <c r="G164" i="11"/>
  <c r="F164" i="11"/>
  <c r="E164" i="11"/>
  <c r="J162" i="11"/>
  <c r="I162" i="11"/>
  <c r="H162" i="11"/>
  <c r="G162" i="11"/>
  <c r="F162" i="11"/>
  <c r="E162" i="11"/>
  <c r="J161" i="11"/>
  <c r="I161" i="11"/>
  <c r="H161" i="11"/>
  <c r="G161" i="11"/>
  <c r="F161" i="11"/>
  <c r="E161" i="11"/>
  <c r="J157" i="11"/>
  <c r="I157" i="11"/>
  <c r="H157" i="11"/>
  <c r="G157" i="11"/>
  <c r="F157" i="11"/>
  <c r="E157" i="11"/>
  <c r="J147" i="11"/>
  <c r="I147" i="11"/>
  <c r="H147" i="11"/>
  <c r="G147" i="11"/>
  <c r="F147" i="11"/>
  <c r="E147" i="11"/>
  <c r="J142" i="11"/>
  <c r="I142" i="11"/>
  <c r="H142" i="11"/>
  <c r="G142" i="11"/>
  <c r="F142" i="11"/>
  <c r="E142" i="11"/>
  <c r="J139" i="11"/>
  <c r="I139" i="11"/>
  <c r="H139" i="11"/>
  <c r="G139" i="11"/>
  <c r="F139" i="11"/>
  <c r="E139" i="11"/>
  <c r="J137" i="11"/>
  <c r="I137" i="11"/>
  <c r="H137" i="11"/>
  <c r="G137" i="11"/>
  <c r="F137" i="11"/>
  <c r="E137" i="11"/>
  <c r="J134" i="11"/>
  <c r="I134" i="11"/>
  <c r="H134" i="11"/>
  <c r="G134" i="11"/>
  <c r="F134" i="11"/>
  <c r="E134" i="11"/>
  <c r="J121" i="11"/>
  <c r="I121" i="11"/>
  <c r="H121" i="11"/>
  <c r="F121" i="11"/>
  <c r="E121" i="11"/>
  <c r="E108" i="11"/>
  <c r="J107" i="11"/>
  <c r="J104" i="11" s="1"/>
  <c r="I107" i="11"/>
  <c r="I104" i="11" s="1"/>
  <c r="G107" i="11"/>
  <c r="G104" i="11" s="1"/>
  <c r="F104" i="11"/>
  <c r="G85" i="11"/>
  <c r="F92" i="11"/>
  <c r="F85" i="11" s="1"/>
  <c r="H75" i="11"/>
  <c r="J74" i="11"/>
  <c r="J72" i="11" s="1"/>
  <c r="I74" i="11"/>
  <c r="G72" i="11"/>
  <c r="I72" i="11"/>
  <c r="H72" i="11"/>
  <c r="F72" i="11"/>
  <c r="E72" i="11"/>
  <c r="E61" i="11"/>
  <c r="E58" i="11" s="1"/>
  <c r="J57" i="11"/>
  <c r="J42" i="11" s="1"/>
  <c r="I57" i="11"/>
  <c r="I42" i="11" s="1"/>
  <c r="I39" i="11" s="1"/>
  <c r="E54" i="11"/>
  <c r="E47" i="11"/>
  <c r="E46" i="11"/>
  <c r="E44" i="11"/>
  <c r="E43" i="11"/>
  <c r="J39" i="11"/>
  <c r="H39" i="11"/>
  <c r="F39" i="11"/>
  <c r="J35" i="11"/>
  <c r="I35" i="11"/>
  <c r="H35" i="11"/>
  <c r="G35" i="11"/>
  <c r="F35" i="11"/>
  <c r="E35" i="11"/>
  <c r="E34" i="11"/>
  <c r="E33" i="11"/>
  <c r="E32" i="11"/>
  <c r="E31" i="11"/>
  <c r="J24" i="11"/>
  <c r="I24" i="11"/>
  <c r="I22" i="11" s="1"/>
  <c r="H24" i="11"/>
  <c r="H22" i="11" s="1"/>
  <c r="F24" i="11"/>
  <c r="F22" i="11" s="1"/>
  <c r="J22" i="11"/>
  <c r="J15" i="11"/>
  <c r="I15" i="11"/>
  <c r="H15" i="11"/>
  <c r="G15" i="11"/>
  <c r="F15" i="11"/>
  <c r="E15" i="11"/>
  <c r="I118" i="11" l="1"/>
  <c r="G14" i="11"/>
  <c r="G73" i="12"/>
  <c r="H118" i="11"/>
  <c r="J118" i="11"/>
  <c r="G118" i="11"/>
  <c r="I14" i="11"/>
  <c r="I11" i="11" s="1"/>
  <c r="I9" i="11" s="1"/>
  <c r="F14" i="11"/>
  <c r="H14" i="11"/>
  <c r="H12" i="11" s="1"/>
  <c r="H11" i="11" s="1"/>
  <c r="H9" i="11" s="1"/>
  <c r="J14" i="11"/>
  <c r="E24" i="11"/>
  <c r="E22" i="11" s="1"/>
  <c r="J12" i="11"/>
  <c r="I12" i="11"/>
  <c r="E50" i="11"/>
  <c r="I75" i="11"/>
  <c r="J75" i="11" s="1"/>
  <c r="E107" i="11"/>
  <c r="E118" i="11"/>
  <c r="E85" i="11"/>
  <c r="F118" i="11"/>
  <c r="E42" i="11"/>
  <c r="J11" i="11" l="1"/>
  <c r="J9" i="11" s="1"/>
  <c r="G68" i="12"/>
  <c r="J73" i="12"/>
  <c r="G70" i="12"/>
  <c r="J70" i="12" s="1"/>
  <c r="G12" i="11"/>
  <c r="G11" i="11" s="1"/>
  <c r="G9" i="11" s="1"/>
  <c r="F12" i="11"/>
  <c r="F11" i="11"/>
  <c r="F9" i="11" s="1"/>
  <c r="E39" i="11"/>
  <c r="E14" i="11" s="1"/>
  <c r="E104" i="11"/>
  <c r="E12" i="11"/>
  <c r="G65" i="12" l="1"/>
  <c r="J68" i="12"/>
  <c r="J65" i="12" s="1"/>
  <c r="G13" i="12"/>
  <c r="E11" i="11"/>
  <c r="E9" i="11" s="1"/>
  <c r="G10" i="12" l="1"/>
  <c r="J13" i="12"/>
  <c r="J10" i="12" s="1"/>
</calcChain>
</file>

<file path=xl/sharedStrings.xml><?xml version="1.0" encoding="utf-8"?>
<sst xmlns="http://schemas.openxmlformats.org/spreadsheetml/2006/main" count="447" uniqueCount="182">
  <si>
    <t xml:space="preserve">Расходы  бюджета  муниципального района на реализацию муниципальной программы                                                                                                                                                                   Нижнедевицкого муниципального района Воронежской области                                                                      _____________________________________________________________________                                 </t>
  </si>
  <si>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</si>
  <si>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</si>
  <si>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местного бюджета (далее - ГРБС)</t>
  </si>
  <si>
    <t>Расходы местного бюджета по годам реализации муниципальной программы, тыс. руб.</t>
  </si>
  <si>
    <t>2014
(первый год реализации)</t>
  </si>
  <si>
    <t>2015
(второй год реализации)</t>
  </si>
  <si>
    <t xml:space="preserve">2016
(третий год реализации) </t>
  </si>
  <si>
    <t>МУНИЦИПАЛЬНАЯ ПРОГРАММА</t>
  </si>
  <si>
    <t>всего</t>
  </si>
  <si>
    <t>в том числе по ГРБС:</t>
  </si>
  <si>
    <t>Администрация Нижнедевицкого муниципального района</t>
  </si>
  <si>
    <t>ПОДПРОГРАММА 1</t>
  </si>
  <si>
    <t xml:space="preserve">Основное мероприятие 1.1 </t>
  </si>
  <si>
    <t>ПОДПРОГРАММА 2</t>
  </si>
  <si>
    <t>в том числе по статьям расходов:</t>
  </si>
  <si>
    <t>ПРОЧИЕ  расходы</t>
  </si>
  <si>
    <t>Вовлечение молодежи в социальну практику</t>
  </si>
  <si>
    <t>ПОДПРОГРАММА 3</t>
  </si>
  <si>
    <t>Код бюджетной классификации 
(областной
бюджет)</t>
  </si>
  <si>
    <t>«Создание условий для реализации государственного образовательного стандарта дошкольного образования в дошкольных образовательных организациях Нижнедевицкого муниципального района»</t>
  </si>
  <si>
    <t>«Создание условий для реализации государственного стандарта общего образования в общеобразовательных организациях Нижнедевицкого муниципального района»</t>
  </si>
  <si>
    <t>«Обеспечение учащихся общеобразовательных учреждений молочной продукцией»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</si>
  <si>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</si>
  <si>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Основное мероприятие 1.4</t>
  </si>
  <si>
    <t>Основное мероприятие 1.5</t>
  </si>
  <si>
    <t>Мероприятия по организации отдыха и оздоровления детей и молодежи</t>
  </si>
  <si>
    <t xml:space="preserve">Расходы на обеспечение функции муниципальных органов </t>
  </si>
  <si>
    <t>924 0709 0148070111211</t>
  </si>
  <si>
    <t xml:space="preserve">Мероприятия в области дополнительного образования и воспитания детей в рамках подпрограммы «Развитие дополнительного образования и воспитания» муниципальной программы  Нижнедевицкого муниципального района Воронежской области «Развитие образования» </t>
  </si>
  <si>
    <t>924 0702 011 0059 244222</t>
  </si>
  <si>
    <t xml:space="preserve">Основное мероприятие 2.1 </t>
  </si>
  <si>
    <t>Основное мероприятие 4.1</t>
  </si>
  <si>
    <t>Основное мероприятие 4. 2</t>
  </si>
  <si>
    <t>924 0709 0148070111213</t>
  </si>
  <si>
    <t>Основное мероприятие 3.1</t>
  </si>
  <si>
    <t>Основное мероприятие 4. 3</t>
  </si>
  <si>
    <t>Субвенции на обеспечение выплат семьям опекунов на содержание подопечных детей</t>
  </si>
  <si>
    <t>Основное мероприятие 4. 4</t>
  </si>
  <si>
    <t>Основное мероприятие 4. 5</t>
  </si>
  <si>
    <t>Основное мероприятие 4. 6</t>
  </si>
  <si>
    <t>Субвенции на обеспечение выплаты вознаграждения, причитающегося приемному родителю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</si>
  <si>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</si>
  <si>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4. 7</t>
  </si>
  <si>
    <t>Основное мероприятие 4. 8</t>
  </si>
  <si>
    <t>Основное мероприятие 4. 9</t>
  </si>
  <si>
    <t>Субвенция на обеспечение единовременной выплаты при передаче ребенка на воспитание в семью</t>
  </si>
  <si>
    <t>Субвенции на обеспечение единовременной выплаты при устройстве в семью ребенка-инвалида или ребенка, достигшего возраста 10 лет</t>
  </si>
  <si>
    <t>924 0701 011 7815 244262</t>
  </si>
  <si>
    <t xml:space="preserve">Развите дошкольного  и общего образования </t>
  </si>
  <si>
    <t xml:space="preserve">Развите дополнительного образования </t>
  </si>
  <si>
    <t xml:space="preserve">ПОДПРОГРАММА 4
</t>
  </si>
  <si>
    <t xml:space="preserve">"Обеспечение реализации    муниципальной  программы" </t>
  </si>
  <si>
    <t xml:space="preserve">Расходы  на обеспечение деятельности  муниципального учреждения </t>
  </si>
  <si>
    <t>Выполнение других расходных обязвтельств</t>
  </si>
  <si>
    <t>924 0709 0148020244 222</t>
  </si>
  <si>
    <t>Выполнение переданных полномочий по организации и осуществлению деятельности по опеке и попечительству  в рамках подпрограммы «Социализация детей-сирот и детей, нуждающихся в особой защите государства» муниципальной программы Нижнедевицкого муниципального района «Развитие образования»</t>
  </si>
  <si>
    <t>924 0702 011 0059 600241</t>
  </si>
  <si>
    <t xml:space="preserve">2017
(четвертый год реализации) </t>
  </si>
  <si>
    <t xml:space="preserve">2018
(пятый год реализации) </t>
  </si>
  <si>
    <t xml:space="preserve">2019
(шестой год реализации) </t>
  </si>
  <si>
    <t xml:space="preserve">Молодежь </t>
  </si>
  <si>
    <t>Основное мероприятие 4.10</t>
  </si>
  <si>
    <t>924 07 07 01 18028244225</t>
  </si>
  <si>
    <t>924 0702 011 7812 600241</t>
  </si>
  <si>
    <t>924 0701 011 0059 244212</t>
  </si>
  <si>
    <t>924 07 07 01 17832244340</t>
  </si>
  <si>
    <t>923 0707 01 37833 244 340</t>
  </si>
  <si>
    <t>922 0707 01 37834 244 340</t>
  </si>
  <si>
    <t>924 0702 012 0059 600 241</t>
  </si>
  <si>
    <t>всего, в том числе:</t>
  </si>
  <si>
    <t xml:space="preserve">федеральный бюджет </t>
  </si>
  <si>
    <t>областной бюджет</t>
  </si>
  <si>
    <t>местный бюджет</t>
  </si>
  <si>
    <t>внебюджетне средства</t>
  </si>
  <si>
    <t>внебюджетные средства</t>
  </si>
  <si>
    <t xml:space="preserve">Основное мероприятие 1.2 </t>
  </si>
  <si>
    <t>Основное мероприятие 1.3</t>
  </si>
  <si>
    <t xml:space="preserve">Муниципальная программа Нижнедевицкого муниципального района на 2014 -2019гг "Развитие образования"
</t>
  </si>
  <si>
    <t xml:space="preserve">Муниципальная программа Нижнедевицкого муниципального района на 2014 -2019гг "Развитие образования"
</t>
  </si>
  <si>
    <t xml:space="preserve">Финансовое обеспечение и прогнозная (справочная) оценка расходов федерального, областного и  бюджета муниципального района на реализацию муниципальной программы Нижнедевицкого муниципального района Воронежской области   муниципальной программы Нижнедевицкого муниципального района на 2014-2019гг "Развития образования "                                                                         </t>
  </si>
  <si>
    <t>924  0702 011 5027 244310</t>
  </si>
  <si>
    <t>924  0702 011 783544310</t>
  </si>
  <si>
    <t>924 0701 011 5059244225</t>
  </si>
  <si>
    <t>924 0701 011 5059244310</t>
  </si>
  <si>
    <t xml:space="preserve">Руководитель отдела по образованию, спорту и работе с молодежью </t>
  </si>
  <si>
    <t>Приложение № 1
к Порядку принятия решений о разработке, реализации и оценке эффективности муниципальных программ Нижнедевицкого муниципального района Воронежской области</t>
  </si>
  <si>
    <t>Приложение № 2
к Порядку принятия решений о разработке, реализации и оценке эффективности муниципальных программ Нижнедевицкого муниципального района Воронежской области</t>
  </si>
  <si>
    <t xml:space="preserve"> к постановлению администрации Нижнедевицкого муниципального района</t>
  </si>
  <si>
    <t>к постановлению администрации Нижнедевицкого муниципального района</t>
  </si>
  <si>
    <t>Основное мероприятие 1.2</t>
  </si>
  <si>
    <t>О.И.Шмойлова</t>
  </si>
  <si>
    <t>92407020110278360243225</t>
  </si>
  <si>
    <t>924070201102S8360243225</t>
  </si>
  <si>
    <t>924  0702 011 5097 244310</t>
  </si>
  <si>
    <t>итого</t>
  </si>
  <si>
    <t>№ 685 от 28  декабря  2016г</t>
  </si>
  <si>
    <t>№ 685 от 28 декабря 2016г</t>
  </si>
  <si>
    <t>924 0701 01101 78290111211</t>
  </si>
  <si>
    <t>925 070101101 78290 244226</t>
  </si>
  <si>
    <t>926 070101101 78290  244 310</t>
  </si>
  <si>
    <t>927 070101101 78290 244 340</t>
  </si>
  <si>
    <t>924 0702  01102 781 20 111211</t>
  </si>
  <si>
    <t>924 070101101 78290119213</t>
  </si>
  <si>
    <t>924 0702 01102 781 20 119 213</t>
  </si>
  <si>
    <t>924 0702 01102 781 20 111212</t>
  </si>
  <si>
    <t>924 0702  011 7812 244 222</t>
  </si>
  <si>
    <t>924 0702 01102 781 20  242 221</t>
  </si>
  <si>
    <t>924 0702 01102 781 20  244225</t>
  </si>
  <si>
    <t>924 0702  01102 781 20  244226</t>
  </si>
  <si>
    <t>924 0702 01102 781 20   242290</t>
  </si>
  <si>
    <t>924 0702 01102 781 20  244310</t>
  </si>
  <si>
    <t>924 0702 01102 781 20 244340</t>
  </si>
  <si>
    <t>924 0702 0110378130244340</t>
  </si>
  <si>
    <t>924 0702 0110 00590 242221</t>
  </si>
  <si>
    <t>924 0702 0110 00590 244223</t>
  </si>
  <si>
    <t>924 0702 0110 00590244225</t>
  </si>
  <si>
    <t>924  0702 0110 00590244310</t>
  </si>
  <si>
    <t>924 0702 0110 00590244226</t>
  </si>
  <si>
    <t>924 0702 0110 00590 244290</t>
  </si>
  <si>
    <t>925 0702 0110 00590 850290</t>
  </si>
  <si>
    <t>924 0702 0110 00590 244310</t>
  </si>
  <si>
    <t>924 0702 0110 00590 242340</t>
  </si>
  <si>
    <t>924070101101 00590 111211</t>
  </si>
  <si>
    <t>924 0701 0110 00590 119 213</t>
  </si>
  <si>
    <t>924 0701 0110 00590 242221</t>
  </si>
  <si>
    <t>92407010110 00590244 223</t>
  </si>
  <si>
    <t>924 07010110 00590244225</t>
  </si>
  <si>
    <t>924 07010110 00590 244226</t>
  </si>
  <si>
    <t>924 0701 0110 00590 850290</t>
  </si>
  <si>
    <t>924  07010110 00590 244310</t>
  </si>
  <si>
    <t>924  07010110 00590 244340</t>
  </si>
  <si>
    <t>924 07 07 010478410244226</t>
  </si>
  <si>
    <t>924 07 07 010488410244226</t>
  </si>
  <si>
    <t>924 07 07 0104883202442290</t>
  </si>
  <si>
    <t>924 07 07 0104883202442310</t>
  </si>
  <si>
    <t>924 07 07 0130678320244310</t>
  </si>
  <si>
    <t>924 07 07 0130678320244340</t>
  </si>
  <si>
    <t>924 07 07 010488320244340</t>
  </si>
  <si>
    <t>924 0702011 0388130 244340</t>
  </si>
  <si>
    <t>924 0702 01200 00590 111211</t>
  </si>
  <si>
    <t>924 0702 01200 00590119213</t>
  </si>
  <si>
    <t>924 0702  01200 00590 244212</t>
  </si>
  <si>
    <t>924 0702  01200 00590242221</t>
  </si>
  <si>
    <t>924 0702  01200 00590244223</t>
  </si>
  <si>
    <t>924 0702  01200 00590 244225</t>
  </si>
  <si>
    <t>924 0702  01200 00590 244226</t>
  </si>
  <si>
    <t>924 0702  01200 00590 850290</t>
  </si>
  <si>
    <t>924 0702  01200 00590 244290</t>
  </si>
  <si>
    <t>924 0702  01200 00590244310</t>
  </si>
  <si>
    <t>924 0702  01200 00590244340</t>
  </si>
  <si>
    <t>924 0707 01 30080310 244212</t>
  </si>
  <si>
    <t>924 0707 01 30080310  244226</t>
  </si>
  <si>
    <t>924 070701 30080310  244290</t>
  </si>
  <si>
    <t>924 0707 01 30080310  244310</t>
  </si>
  <si>
    <t>924 0707 01 30080310  244340</t>
  </si>
  <si>
    <t>924 0709 014080200242 221</t>
  </si>
  <si>
    <t>924 0709 014080200111211</t>
  </si>
  <si>
    <t>924 0709 014080200119213</t>
  </si>
  <si>
    <t>924 0709014080200244 223</t>
  </si>
  <si>
    <t>924 0709 014080200244 225</t>
  </si>
  <si>
    <t>924 0709 014080200244 226</t>
  </si>
  <si>
    <t>924 0709 014080200244 290</t>
  </si>
  <si>
    <t>924 0709 014080200850 290</t>
  </si>
  <si>
    <t>924 0709 014080200244 310</t>
  </si>
  <si>
    <t>924 0709 014080200244 340</t>
  </si>
  <si>
    <t>924 0709 0140280700111211</t>
  </si>
  <si>
    <t>924 0709 0140280700119213</t>
  </si>
  <si>
    <t>924 01 13 01403 78240 111211</t>
  </si>
  <si>
    <t>924 01 13 01403 78240119213</t>
  </si>
  <si>
    <t>924 01 13  01403 78240242 221</t>
  </si>
  <si>
    <t>924 01 13  01403 78240244 225</t>
  </si>
  <si>
    <t>924 01 13  01403 78240244 226</t>
  </si>
  <si>
    <t>924 01 13  01403 78240 242 310</t>
  </si>
  <si>
    <t>924 01 13  01403 78240244 340</t>
  </si>
  <si>
    <t>92410040140478200313262</t>
  </si>
  <si>
    <t>92410040140478190323262</t>
  </si>
  <si>
    <t>92410040140452600313262</t>
  </si>
  <si>
    <t>92410040140478210313262</t>
  </si>
  <si>
    <t>92410040140478220313262</t>
  </si>
  <si>
    <t>92410040140478180313262</t>
  </si>
  <si>
    <t>92410040140678150313262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</si>
</sst>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#,##0.0000"/>
    <numFmt numFmtId="166" formatCode="0.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trike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trike/>
      <sz val="12"/>
      <name val="Calibri"/>
      <family val="2"/>
      <charset val="204"/>
    </font>
    <font>
      <strike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6">
    <xf numFmtId="0" fontId="0" fillId="0" borderId="0" xfId="0"/>
    <xf numFmtId="0" fontId="6" fillId="0" borderId="0" xfId="1" applyFont="1"/>
    <xf numFmtId="0" fontId="4" fillId="0" borderId="0" xfId="1" applyFont="1" applyAlignment="1"/>
    <xf numFmtId="0" fontId="5" fillId="0" borderId="0" xfId="0" applyFont="1"/>
    <xf numFmtId="0" fontId="7" fillId="0" borderId="1" xfId="1" applyFont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wrapText="1"/>
    </xf>
    <xf numFmtId="0" fontId="3" fillId="0" borderId="2" xfId="1" applyFont="1" applyFill="1" applyBorder="1" applyAlignment="1">
      <alignment wrapText="1"/>
    </xf>
    <xf numFmtId="4" fontId="3" fillId="0" borderId="2" xfId="1" applyNumberFormat="1" applyFont="1" applyFill="1" applyBorder="1" applyAlignment="1">
      <alignment horizontal="right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vertical="center" wrapText="1"/>
    </xf>
    <xf numFmtId="0" fontId="3" fillId="2" borderId="2" xfId="1" applyFont="1" applyFill="1" applyBorder="1" applyAlignment="1">
      <alignment vertical="center" wrapText="1"/>
    </xf>
    <xf numFmtId="0" fontId="10" fillId="2" borderId="2" xfId="1" applyFont="1" applyFill="1" applyBorder="1" applyAlignment="1">
      <alignment vertical="center" wrapText="1"/>
    </xf>
    <xf numFmtId="49" fontId="3" fillId="0" borderId="2" xfId="0" applyNumberFormat="1" applyFont="1" applyFill="1" applyBorder="1" applyAlignment="1">
      <alignment horizontal="left" vertical="center" wrapText="1"/>
    </xf>
    <xf numFmtId="0" fontId="3" fillId="4" borderId="2" xfId="1" applyFont="1" applyFill="1" applyBorder="1" applyAlignment="1">
      <alignment wrapText="1"/>
    </xf>
    <xf numFmtId="0" fontId="3" fillId="5" borderId="2" xfId="1" applyFont="1" applyFill="1" applyBorder="1" applyAlignment="1">
      <alignment wrapText="1"/>
    </xf>
    <xf numFmtId="49" fontId="3" fillId="4" borderId="2" xfId="0" applyNumberFormat="1" applyFont="1" applyFill="1" applyBorder="1" applyAlignment="1">
      <alignment horizontal="center" vertical="center" wrapText="1"/>
    </xf>
    <xf numFmtId="3" fontId="3" fillId="4" borderId="2" xfId="1" applyNumberFormat="1" applyFont="1" applyFill="1" applyBorder="1" applyAlignment="1">
      <alignment horizontal="center" wrapText="1"/>
    </xf>
    <xf numFmtId="0" fontId="3" fillId="6" borderId="2" xfId="1" applyFont="1" applyFill="1" applyBorder="1" applyAlignment="1">
      <alignment wrapText="1"/>
    </xf>
    <xf numFmtId="0" fontId="8" fillId="4" borderId="2" xfId="1" applyFont="1" applyFill="1" applyBorder="1" applyAlignment="1">
      <alignment vertical="center" wrapText="1"/>
    </xf>
    <xf numFmtId="0" fontId="8" fillId="6" borderId="2" xfId="1" applyFont="1" applyFill="1" applyBorder="1" applyAlignment="1">
      <alignment vertical="center" wrapText="1"/>
    </xf>
    <xf numFmtId="4" fontId="3" fillId="2" borderId="2" xfId="1" applyNumberFormat="1" applyFont="1" applyFill="1" applyBorder="1" applyAlignment="1">
      <alignment wrapText="1"/>
    </xf>
    <xf numFmtId="4" fontId="0" fillId="0" borderId="0" xfId="0" applyNumberFormat="1"/>
    <xf numFmtId="0" fontId="3" fillId="2" borderId="7" xfId="1" applyFont="1" applyFill="1" applyBorder="1" applyAlignment="1">
      <alignment wrapText="1"/>
    </xf>
    <xf numFmtId="0" fontId="0" fillId="0" borderId="2" xfId="0" applyBorder="1"/>
    <xf numFmtId="0" fontId="7" fillId="0" borderId="0" xfId="1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" fontId="0" fillId="0" borderId="2" xfId="0" applyNumberFormat="1" applyBorder="1"/>
    <xf numFmtId="2" fontId="0" fillId="0" borderId="2" xfId="0" applyNumberFormat="1" applyBorder="1"/>
    <xf numFmtId="4" fontId="3" fillId="0" borderId="2" xfId="1" applyNumberFormat="1" applyFont="1" applyFill="1" applyBorder="1" applyAlignment="1">
      <alignment wrapText="1"/>
    </xf>
    <xf numFmtId="0" fontId="10" fillId="2" borderId="3" xfId="1" applyFont="1" applyFill="1" applyBorder="1" applyAlignment="1">
      <alignment vertical="center" wrapText="1"/>
    </xf>
    <xf numFmtId="165" fontId="0" fillId="0" borderId="0" xfId="0" applyNumberFormat="1"/>
    <xf numFmtId="166" fontId="3" fillId="6" borderId="2" xfId="1" applyNumberFormat="1" applyFont="1" applyFill="1" applyBorder="1" applyAlignment="1">
      <alignment horizontal="center" vertical="center" wrapText="1"/>
    </xf>
    <xf numFmtId="164" fontId="3" fillId="2" borderId="2" xfId="1" applyNumberFormat="1" applyFont="1" applyFill="1" applyBorder="1" applyAlignment="1">
      <alignment wrapText="1"/>
    </xf>
    <xf numFmtId="166" fontId="3" fillId="0" borderId="2" xfId="1" applyNumberFormat="1" applyFont="1" applyFill="1" applyBorder="1" applyAlignment="1">
      <alignment horizontal="center" vertical="center" wrapText="1"/>
    </xf>
    <xf numFmtId="166" fontId="10" fillId="0" borderId="2" xfId="1" applyNumberFormat="1" applyFont="1" applyFill="1" applyBorder="1" applyAlignment="1">
      <alignment horizontal="center" vertical="center" wrapText="1"/>
    </xf>
    <xf numFmtId="166" fontId="3" fillId="0" borderId="2" xfId="1" applyNumberFormat="1" applyFont="1" applyFill="1" applyBorder="1" applyAlignment="1">
      <alignment horizontal="center" wrapText="1"/>
    </xf>
    <xf numFmtId="166" fontId="3" fillId="0" borderId="2" xfId="1" applyNumberFormat="1" applyFont="1" applyFill="1" applyBorder="1" applyAlignment="1">
      <alignment horizontal="right" wrapText="1"/>
    </xf>
    <xf numFmtId="166" fontId="0" fillId="0" borderId="2" xfId="0" applyNumberFormat="1" applyFill="1" applyBorder="1"/>
    <xf numFmtId="0" fontId="11" fillId="0" borderId="5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49" fontId="12" fillId="0" borderId="2" xfId="0" applyNumberFormat="1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166" fontId="3" fillId="6" borderId="2" xfId="1" applyNumberFormat="1" applyFont="1" applyFill="1" applyBorder="1" applyAlignment="1">
      <alignment horizontal="right" wrapText="1"/>
    </xf>
    <xf numFmtId="0" fontId="3" fillId="0" borderId="2" xfId="0" applyFont="1" applyFill="1" applyBorder="1" applyAlignment="1">
      <alignment horizontal="center" vertical="center" wrapText="1"/>
    </xf>
    <xf numFmtId="0" fontId="3" fillId="7" borderId="2" xfId="1" applyFont="1" applyFill="1" applyBorder="1" applyAlignment="1">
      <alignment wrapText="1"/>
    </xf>
    <xf numFmtId="0" fontId="3" fillId="0" borderId="2" xfId="1" applyFont="1" applyBorder="1" applyAlignment="1">
      <alignment horizontal="center" vertical="center"/>
    </xf>
    <xf numFmtId="0" fontId="3" fillId="2" borderId="3" xfId="1" applyFont="1" applyFill="1" applyBorder="1" applyAlignment="1">
      <alignment wrapText="1"/>
    </xf>
    <xf numFmtId="166" fontId="8" fillId="7" borderId="2" xfId="1" applyNumberFormat="1" applyFont="1" applyFill="1" applyBorder="1" applyAlignment="1">
      <alignment horizontal="right" wrapText="1"/>
    </xf>
    <xf numFmtId="166" fontId="8" fillId="0" borderId="2" xfId="1" applyNumberFormat="1" applyFont="1" applyBorder="1" applyAlignment="1">
      <alignment horizontal="center" wrapText="1"/>
    </xf>
    <xf numFmtId="166" fontId="8" fillId="6" borderId="2" xfId="1" applyNumberFormat="1" applyFont="1" applyFill="1" applyBorder="1" applyAlignment="1">
      <alignment horizontal="right" wrapText="1"/>
    </xf>
    <xf numFmtId="166" fontId="8" fillId="0" borderId="2" xfId="1" applyNumberFormat="1" applyFont="1" applyFill="1" applyBorder="1" applyAlignment="1">
      <alignment horizontal="right" wrapText="1"/>
    </xf>
    <xf numFmtId="166" fontId="3" fillId="4" borderId="2" xfId="1" applyNumberFormat="1" applyFont="1" applyFill="1" applyBorder="1" applyAlignment="1">
      <alignment horizontal="right" wrapText="1"/>
    </xf>
    <xf numFmtId="166" fontId="3" fillId="5" borderId="2" xfId="1" applyNumberFormat="1" applyFont="1" applyFill="1" applyBorder="1" applyAlignment="1">
      <alignment horizontal="right" wrapText="1"/>
    </xf>
    <xf numFmtId="166" fontId="3" fillId="4" borderId="2" xfId="1" applyNumberFormat="1" applyFont="1" applyFill="1" applyBorder="1" applyAlignment="1">
      <alignment horizontal="center" vertical="center" wrapText="1"/>
    </xf>
    <xf numFmtId="166" fontId="14" fillId="0" borderId="2" xfId="0" applyNumberFormat="1" applyFont="1" applyFill="1" applyBorder="1" applyAlignment="1">
      <alignment horizontal="center"/>
    </xf>
    <xf numFmtId="166" fontId="3" fillId="0" borderId="2" xfId="1" applyNumberFormat="1" applyFont="1" applyBorder="1" applyAlignment="1">
      <alignment horizontal="right" wrapText="1"/>
    </xf>
    <xf numFmtId="166" fontId="0" fillId="0" borderId="2" xfId="0" applyNumberFormat="1" applyBorder="1"/>
    <xf numFmtId="166" fontId="9" fillId="0" borderId="2" xfId="1" applyNumberFormat="1" applyFont="1" applyFill="1" applyBorder="1" applyAlignment="1">
      <alignment horizontal="right" wrapText="1"/>
    </xf>
    <xf numFmtId="166" fontId="3" fillId="0" borderId="2" xfId="1" applyNumberFormat="1" applyFont="1" applyFill="1" applyBorder="1" applyAlignment="1">
      <alignment horizontal="right" vertical="center" wrapText="1"/>
    </xf>
    <xf numFmtId="166" fontId="9" fillId="0" borderId="2" xfId="1" applyNumberFormat="1" applyFont="1" applyBorder="1" applyAlignment="1">
      <alignment horizontal="right" wrapText="1"/>
    </xf>
    <xf numFmtId="0" fontId="15" fillId="0" borderId="0" xfId="0" applyFont="1"/>
    <xf numFmtId="4" fontId="15" fillId="0" borderId="0" xfId="0" applyNumberFormat="1" applyFont="1"/>
    <xf numFmtId="166" fontId="8" fillId="0" borderId="2" xfId="1" applyNumberFormat="1" applyFont="1" applyFill="1" applyBorder="1" applyAlignment="1">
      <alignment horizontal="center" wrapText="1"/>
    </xf>
    <xf numFmtId="0" fontId="14" fillId="0" borderId="0" xfId="0" applyFont="1"/>
    <xf numFmtId="4" fontId="2" fillId="0" borderId="0" xfId="1" applyNumberFormat="1" applyFont="1"/>
    <xf numFmtId="4" fontId="4" fillId="0" borderId="0" xfId="1" applyNumberFormat="1" applyFont="1"/>
    <xf numFmtId="4" fontId="2" fillId="0" borderId="0" xfId="1" applyNumberFormat="1" applyFont="1" applyAlignment="1">
      <alignment horizontal="center"/>
    </xf>
    <xf numFmtId="164" fontId="0" fillId="0" borderId="0" xfId="0" applyNumberFormat="1"/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left" vertical="top" wrapText="1"/>
    </xf>
    <xf numFmtId="166" fontId="0" fillId="0" borderId="0" xfId="0" applyNumberFormat="1"/>
    <xf numFmtId="166" fontId="8" fillId="0" borderId="2" xfId="1" applyNumberFormat="1" applyFont="1" applyBorder="1" applyAlignment="1">
      <alignment horizontal="right" wrapText="1"/>
    </xf>
    <xf numFmtId="166" fontId="8" fillId="0" borderId="2" xfId="1" applyNumberFormat="1" applyFont="1" applyFill="1" applyBorder="1" applyAlignment="1">
      <alignment horizontal="right" vertical="center" wrapText="1"/>
    </xf>
    <xf numFmtId="166" fontId="10" fillId="0" borderId="2" xfId="1" applyNumberFormat="1" applyFont="1" applyFill="1" applyBorder="1" applyAlignment="1">
      <alignment horizontal="right" vertical="center" wrapText="1"/>
    </xf>
    <xf numFmtId="166" fontId="0" fillId="4" borderId="2" xfId="0" applyNumberFormat="1" applyFill="1" applyBorder="1"/>
    <xf numFmtId="166" fontId="0" fillId="0" borderId="0" xfId="0" applyNumberFormat="1" applyFill="1"/>
    <xf numFmtId="0" fontId="3" fillId="4" borderId="2" xfId="1" applyFont="1" applyFill="1" applyBorder="1" applyAlignment="1">
      <alignment horizontal="left" wrapText="1"/>
    </xf>
    <xf numFmtId="0" fontId="0" fillId="0" borderId="2" xfId="0" applyBorder="1" applyAlignment="1">
      <alignment horizontal="left"/>
    </xf>
    <xf numFmtId="0" fontId="3" fillId="0" borderId="3" xfId="1" applyFont="1" applyBorder="1" applyAlignment="1">
      <alignment horizontal="left" vertical="top" wrapText="1"/>
    </xf>
    <xf numFmtId="0" fontId="3" fillId="0" borderId="4" xfId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9" fillId="0" borderId="2" xfId="1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9" fillId="2" borderId="2" xfId="1" applyFont="1" applyFill="1" applyBorder="1" applyAlignment="1">
      <alignment horizontal="left" vertical="top" wrapText="1"/>
    </xf>
    <xf numFmtId="0" fontId="3" fillId="2" borderId="3" xfId="1" applyFont="1" applyFill="1" applyBorder="1" applyAlignment="1">
      <alignment horizontal="left" vertical="top" wrapText="1"/>
    </xf>
    <xf numFmtId="0" fontId="3" fillId="2" borderId="4" xfId="1" applyFont="1" applyFill="1" applyBorder="1" applyAlignment="1">
      <alignment horizontal="left" vertical="top" wrapText="1"/>
    </xf>
    <xf numFmtId="0" fontId="9" fillId="0" borderId="3" xfId="1" applyFont="1" applyBorder="1" applyAlignment="1">
      <alignment horizontal="left" vertical="top" wrapText="1"/>
    </xf>
    <xf numFmtId="0" fontId="9" fillId="0" borderId="4" xfId="1" applyFont="1" applyBorder="1" applyAlignment="1">
      <alignment horizontal="left" vertical="top" wrapText="1"/>
    </xf>
    <xf numFmtId="0" fontId="9" fillId="2" borderId="3" xfId="1" applyFont="1" applyFill="1" applyBorder="1" applyAlignment="1">
      <alignment horizontal="left" vertical="top" wrapText="1"/>
    </xf>
    <xf numFmtId="0" fontId="9" fillId="2" borderId="4" xfId="1" applyFont="1" applyFill="1" applyBorder="1" applyAlignment="1">
      <alignment horizontal="left" vertical="top" wrapText="1"/>
    </xf>
    <xf numFmtId="0" fontId="3" fillId="0" borderId="3" xfId="1" applyFont="1" applyFill="1" applyBorder="1" applyAlignment="1">
      <alignment horizontal="left" vertical="top" wrapText="1"/>
    </xf>
    <xf numFmtId="0" fontId="3" fillId="0" borderId="4" xfId="1" applyFont="1" applyFill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3" fillId="0" borderId="2" xfId="1" applyFont="1" applyBorder="1" applyAlignment="1">
      <alignment horizontal="center" vertical="top" wrapText="1"/>
    </xf>
    <xf numFmtId="0" fontId="3" fillId="0" borderId="2" xfId="1" applyFont="1" applyFill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2" fillId="0" borderId="0" xfId="0" applyFont="1" applyAlignment="1">
      <alignment wrapText="1"/>
    </xf>
    <xf numFmtId="0" fontId="2" fillId="0" borderId="0" xfId="1" applyFont="1" applyBorder="1" applyAlignment="1">
      <alignment horizontal="center" vertical="center" wrapText="1"/>
    </xf>
    <xf numFmtId="0" fontId="0" fillId="0" borderId="0" xfId="0" applyAlignment="1"/>
    <xf numFmtId="0" fontId="3" fillId="0" borderId="2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4" fontId="3" fillId="0" borderId="2" xfId="1" applyNumberFormat="1" applyFont="1" applyBorder="1" applyAlignment="1">
      <alignment horizontal="center" vertical="center" wrapText="1"/>
    </xf>
    <xf numFmtId="0" fontId="0" fillId="0" borderId="2" xfId="0" applyBorder="1" applyAlignment="1"/>
    <xf numFmtId="0" fontId="2" fillId="0" borderId="1" xfId="1" applyFont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5" xfId="1" applyFont="1" applyBorder="1" applyAlignment="1">
      <alignment horizontal="left" vertical="top" wrapText="1"/>
    </xf>
    <xf numFmtId="0" fontId="3" fillId="2" borderId="3" xfId="1" applyFont="1" applyFill="1" applyBorder="1" applyAlignment="1">
      <alignment wrapText="1"/>
    </xf>
    <xf numFmtId="0" fontId="3" fillId="2" borderId="4" xfId="1" applyFont="1" applyFill="1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3" fillId="0" borderId="3" xfId="1" applyFont="1" applyFill="1" applyBorder="1" applyAlignment="1">
      <alignment wrapText="1"/>
    </xf>
    <xf numFmtId="0" fontId="3" fillId="0" borderId="4" xfId="1" applyFont="1" applyFill="1" applyBorder="1" applyAlignment="1">
      <alignment wrapText="1"/>
    </xf>
    <xf numFmtId="0" fontId="0" fillId="0" borderId="6" xfId="0" applyBorder="1" applyAlignment="1"/>
    <xf numFmtId="0" fontId="0" fillId="0" borderId="8" xfId="0" applyBorder="1" applyAlignment="1"/>
    <xf numFmtId="0" fontId="3" fillId="2" borderId="5" xfId="1" applyFont="1" applyFill="1" applyBorder="1" applyAlignment="1">
      <alignment wrapText="1"/>
    </xf>
    <xf numFmtId="0" fontId="3" fillId="2" borderId="3" xfId="1" applyFont="1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5"/>
  <sheetViews>
    <sheetView tabSelected="1" topLeftCell="A7" workbookViewId="0">
      <selection activeCell="E98" sqref="E98"/>
    </sheetView>
  </sheetViews>
  <sheetFormatPr defaultRowHeight="15" x14ac:dyDescent="0.25"/>
  <cols>
    <col min="1" max="1" width="21.28515625" customWidth="1"/>
    <col min="2" max="2" width="29.42578125" customWidth="1"/>
    <col min="3" max="3" width="22.42578125" customWidth="1"/>
    <col min="4" max="4" width="14.42578125" customWidth="1"/>
    <col min="5" max="5" width="16.42578125" customWidth="1"/>
    <col min="6" max="6" width="14.7109375" customWidth="1"/>
    <col min="7" max="7" width="13.85546875" customWidth="1"/>
    <col min="8" max="8" width="11.7109375" customWidth="1"/>
    <col min="9" max="9" width="12.140625" customWidth="1"/>
    <col min="10" max="10" width="19.42578125" customWidth="1"/>
  </cols>
  <sheetData>
    <row r="1" spans="1:10" ht="15.75" x14ac:dyDescent="0.25">
      <c r="A1" s="1"/>
      <c r="B1" s="1"/>
      <c r="C1" s="1"/>
      <c r="D1" s="2"/>
      <c r="E1" s="102" t="s">
        <v>86</v>
      </c>
      <c r="F1" s="102"/>
      <c r="G1" s="64"/>
      <c r="H1" s="64"/>
      <c r="I1" s="64"/>
    </row>
    <row r="2" spans="1:10" ht="15.75" x14ac:dyDescent="0.25">
      <c r="A2" s="1"/>
      <c r="B2" s="1"/>
      <c r="C2" s="1"/>
      <c r="D2" s="65" t="s">
        <v>88</v>
      </c>
      <c r="E2" s="65"/>
      <c r="F2" s="65"/>
      <c r="G2" s="64"/>
      <c r="H2" s="64"/>
      <c r="I2" s="64"/>
    </row>
    <row r="3" spans="1:10" ht="15.75" x14ac:dyDescent="0.25">
      <c r="A3" s="1"/>
      <c r="B3" s="1"/>
      <c r="C3" s="1"/>
      <c r="D3" s="66"/>
      <c r="E3" s="67" t="s">
        <v>97</v>
      </c>
      <c r="F3" s="66"/>
      <c r="G3" s="64"/>
      <c r="H3" s="64"/>
      <c r="I3" s="64"/>
    </row>
    <row r="4" spans="1:10" ht="15.75" x14ac:dyDescent="0.25">
      <c r="A4" s="1"/>
      <c r="B4" s="1"/>
      <c r="C4" s="1"/>
      <c r="D4" s="66"/>
      <c r="E4" s="66"/>
      <c r="F4" s="66"/>
      <c r="G4" s="64"/>
      <c r="H4" s="64"/>
      <c r="I4" s="64"/>
    </row>
    <row r="5" spans="1:10" ht="61.5" customHeight="1" x14ac:dyDescent="0.25">
      <c r="A5" s="103" t="s">
        <v>80</v>
      </c>
      <c r="B5" s="103"/>
      <c r="C5" s="103"/>
      <c r="D5" s="103"/>
      <c r="E5" s="103"/>
      <c r="F5" s="103"/>
      <c r="G5" s="104"/>
      <c r="H5" s="104"/>
      <c r="I5" s="104"/>
    </row>
    <row r="6" spans="1:10" x14ac:dyDescent="0.25">
      <c r="A6" s="4"/>
      <c r="B6" s="4"/>
      <c r="C6" s="4"/>
      <c r="D6" s="25"/>
      <c r="E6" s="25"/>
      <c r="F6" s="25"/>
    </row>
    <row r="7" spans="1:10" ht="15" customHeight="1" x14ac:dyDescent="0.25">
      <c r="A7" s="105" t="s">
        <v>1</v>
      </c>
      <c r="B7" s="106" t="s">
        <v>2</v>
      </c>
      <c r="C7" s="107" t="s">
        <v>3</v>
      </c>
      <c r="D7" s="108" t="s">
        <v>4</v>
      </c>
      <c r="E7" s="109"/>
      <c r="F7" s="109"/>
      <c r="G7" s="109"/>
      <c r="H7" s="109"/>
      <c r="I7" s="109"/>
    </row>
    <row r="8" spans="1:10" ht="126.75" customHeight="1" x14ac:dyDescent="0.25">
      <c r="A8" s="105"/>
      <c r="B8" s="106"/>
      <c r="C8" s="107"/>
      <c r="D8" s="44" t="s">
        <v>5</v>
      </c>
      <c r="E8" s="44" t="s">
        <v>6</v>
      </c>
      <c r="F8" s="26" t="s">
        <v>7</v>
      </c>
      <c r="G8" s="26" t="s">
        <v>58</v>
      </c>
      <c r="H8" s="26" t="s">
        <v>59</v>
      </c>
      <c r="I8" s="26" t="s">
        <v>60</v>
      </c>
      <c r="J8" s="26" t="s">
        <v>95</v>
      </c>
    </row>
    <row r="9" spans="1:10" x14ac:dyDescent="0.25">
      <c r="A9" s="69">
        <v>1</v>
      </c>
      <c r="B9" s="69">
        <v>2</v>
      </c>
      <c r="C9" s="5">
        <v>3</v>
      </c>
      <c r="D9" s="5">
        <v>5</v>
      </c>
      <c r="E9" s="69">
        <v>6</v>
      </c>
      <c r="F9" s="5">
        <v>7</v>
      </c>
      <c r="G9" s="69">
        <v>8</v>
      </c>
      <c r="H9" s="69">
        <v>9</v>
      </c>
      <c r="I9" s="5">
        <v>10</v>
      </c>
    </row>
    <row r="10" spans="1:10" x14ac:dyDescent="0.25">
      <c r="A10" s="79" t="s">
        <v>8</v>
      </c>
      <c r="B10" s="79" t="s">
        <v>79</v>
      </c>
      <c r="C10" s="39" t="s">
        <v>70</v>
      </c>
      <c r="D10" s="48">
        <f>D11+D12+D13+D14</f>
        <v>196419.07</v>
      </c>
      <c r="E10" s="48">
        <f t="shared" ref="E10:J10" si="0">E11+E12+E13+E14</f>
        <v>223612.14021000001</v>
      </c>
      <c r="F10" s="48">
        <f t="shared" si="0"/>
        <v>188030.82800000001</v>
      </c>
      <c r="G10" s="48">
        <f t="shared" si="0"/>
        <v>176189</v>
      </c>
      <c r="H10" s="48">
        <f t="shared" si="0"/>
        <v>196031.29999999996</v>
      </c>
      <c r="I10" s="48">
        <f t="shared" si="0"/>
        <v>196031.29999999996</v>
      </c>
      <c r="J10" s="48">
        <f t="shared" si="0"/>
        <v>1176313.63821</v>
      </c>
    </row>
    <row r="11" spans="1:10" x14ac:dyDescent="0.25">
      <c r="A11" s="80"/>
      <c r="B11" s="80"/>
      <c r="C11" s="40" t="s">
        <v>71</v>
      </c>
      <c r="D11" s="49">
        <f>D16+D46+D56+D66</f>
        <v>2369.13</v>
      </c>
      <c r="E11" s="63">
        <f t="shared" ref="E11:F11" si="1">E16+E46+E56+E66</f>
        <v>26356.599590000002</v>
      </c>
      <c r="F11" s="49">
        <f t="shared" si="1"/>
        <v>1598.559</v>
      </c>
      <c r="G11" s="49">
        <f t="shared" ref="G11:I11" si="2">G16+G46+G56+G66</f>
        <v>454.2</v>
      </c>
      <c r="H11" s="49">
        <f t="shared" si="2"/>
        <v>339.3</v>
      </c>
      <c r="I11" s="49">
        <f t="shared" si="2"/>
        <v>339.3</v>
      </c>
      <c r="J11" s="49">
        <f>D11+E11+F11+G11+H11+I11</f>
        <v>31457.088590000003</v>
      </c>
    </row>
    <row r="12" spans="1:10" ht="31.5" customHeight="1" x14ac:dyDescent="0.25">
      <c r="A12" s="80"/>
      <c r="B12" s="80"/>
      <c r="C12" s="41" t="s">
        <v>72</v>
      </c>
      <c r="D12" s="49">
        <f t="shared" ref="D12:F14" si="3">D17+D47+D57+D67</f>
        <v>136409.67000000001</v>
      </c>
      <c r="E12" s="49">
        <f t="shared" si="3"/>
        <v>132053.56961999999</v>
      </c>
      <c r="F12" s="49">
        <f t="shared" si="3"/>
        <v>121123.658</v>
      </c>
      <c r="G12" s="49">
        <f t="shared" ref="G12:I12" si="4">G17+G47+G57+G67</f>
        <v>119296.79999999999</v>
      </c>
      <c r="H12" s="49">
        <f t="shared" si="4"/>
        <v>157711.59999999998</v>
      </c>
      <c r="I12" s="49">
        <f t="shared" si="4"/>
        <v>157711.59999999998</v>
      </c>
      <c r="J12" s="49">
        <f t="shared" ref="J12:J14" si="5">D12+E12+F12+G12+H12+I12</f>
        <v>824306.89761999995</v>
      </c>
    </row>
    <row r="13" spans="1:10" ht="30.75" customHeight="1" x14ac:dyDescent="0.25">
      <c r="A13" s="81"/>
      <c r="B13" s="81"/>
      <c r="C13" s="41" t="s">
        <v>73</v>
      </c>
      <c r="D13" s="49">
        <f t="shared" si="3"/>
        <v>57246.669999999991</v>
      </c>
      <c r="E13" s="49">
        <f t="shared" si="3"/>
        <v>64732.697</v>
      </c>
      <c r="F13" s="49">
        <f t="shared" ref="F13" si="6">F18+F48+F58+F68</f>
        <v>64781.557999999997</v>
      </c>
      <c r="G13" s="49">
        <f t="shared" ref="G13:I13" si="7">G18+G48+G58+G68</f>
        <v>56438</v>
      </c>
      <c r="H13" s="49">
        <f t="shared" si="7"/>
        <v>37980.400000000001</v>
      </c>
      <c r="I13" s="49">
        <f t="shared" si="7"/>
        <v>37980.400000000001</v>
      </c>
      <c r="J13" s="49">
        <f t="shared" si="5"/>
        <v>319159.72500000003</v>
      </c>
    </row>
    <row r="14" spans="1:10" ht="21" customHeight="1" x14ac:dyDescent="0.25">
      <c r="A14" s="82"/>
      <c r="B14" s="82"/>
      <c r="C14" s="42" t="s">
        <v>74</v>
      </c>
      <c r="D14" s="49">
        <f t="shared" si="3"/>
        <v>393.6</v>
      </c>
      <c r="E14" s="49">
        <f t="shared" si="3"/>
        <v>469.274</v>
      </c>
      <c r="F14" s="49">
        <f t="shared" ref="F14" si="8">F19+F49+F59+F69</f>
        <v>527.053</v>
      </c>
      <c r="G14" s="49">
        <f t="shared" ref="G14:I14" si="9">G19+G49+G59+G69</f>
        <v>0</v>
      </c>
      <c r="H14" s="49">
        <f t="shared" si="9"/>
        <v>0</v>
      </c>
      <c r="I14" s="49">
        <f t="shared" si="9"/>
        <v>0</v>
      </c>
      <c r="J14" s="49">
        <f t="shared" si="5"/>
        <v>1389.9270000000001</v>
      </c>
    </row>
    <row r="15" spans="1:10" x14ac:dyDescent="0.25">
      <c r="A15" s="98" t="s">
        <v>12</v>
      </c>
      <c r="B15" s="98" t="s">
        <v>49</v>
      </c>
      <c r="C15" s="39" t="s">
        <v>70</v>
      </c>
      <c r="D15" s="50">
        <f>D16+D17+D18+D19</f>
        <v>167164.70000000001</v>
      </c>
      <c r="E15" s="50">
        <f t="shared" ref="E15:I15" si="10">E16+E17+E18+E19</f>
        <v>190432.144</v>
      </c>
      <c r="F15" s="50">
        <f t="shared" si="10"/>
        <v>154179.834</v>
      </c>
      <c r="G15" s="50">
        <f t="shared" si="10"/>
        <v>143175.09999999998</v>
      </c>
      <c r="H15" s="50">
        <f t="shared" si="10"/>
        <v>164302.19999999998</v>
      </c>
      <c r="I15" s="50">
        <f t="shared" si="10"/>
        <v>164302.19999999998</v>
      </c>
      <c r="J15" s="50">
        <f t="shared" ref="J15" si="11">J16+J17+J18+J19</f>
        <v>983556.17800000007</v>
      </c>
    </row>
    <row r="16" spans="1:10" x14ac:dyDescent="0.25">
      <c r="A16" s="98"/>
      <c r="B16" s="98"/>
      <c r="C16" s="40" t="s">
        <v>71</v>
      </c>
      <c r="D16" s="51">
        <f>D21+D31+D36+D41+D26</f>
        <v>2207.5</v>
      </c>
      <c r="E16" s="51">
        <f t="shared" ref="E16:F19" si="12">E21+E31+E36+E41+E26</f>
        <v>26096.395</v>
      </c>
      <c r="F16" s="51">
        <f t="shared" si="12"/>
        <v>743.21299999999997</v>
      </c>
      <c r="G16" s="51">
        <f t="shared" ref="G16:I16" si="13">G21+G31+G36+G41+G26</f>
        <v>0</v>
      </c>
      <c r="H16" s="51">
        <f t="shared" si="13"/>
        <v>0</v>
      </c>
      <c r="I16" s="51">
        <f t="shared" si="13"/>
        <v>0</v>
      </c>
      <c r="J16" s="51">
        <f t="shared" ref="J16" si="14">J21+J31+J36+J41+J26</f>
        <v>29047.108</v>
      </c>
    </row>
    <row r="17" spans="1:10" x14ac:dyDescent="0.25">
      <c r="A17" s="98"/>
      <c r="B17" s="98"/>
      <c r="C17" s="41" t="s">
        <v>72</v>
      </c>
      <c r="D17" s="51">
        <f t="shared" ref="D17:D19" si="15">D22+D32+D37+D42+D27</f>
        <v>122836.62000000001</v>
      </c>
      <c r="E17" s="51">
        <f t="shared" si="12"/>
        <v>117070.595</v>
      </c>
      <c r="F17" s="51">
        <f t="shared" ref="F17" si="16">F22+F32+F37+F42+F27</f>
        <v>106993.988</v>
      </c>
      <c r="G17" s="51">
        <f t="shared" ref="G17:I17" si="17">G22+G32+G37+G42+G27</f>
        <v>106570.09999999999</v>
      </c>
      <c r="H17" s="51">
        <f t="shared" si="17"/>
        <v>142185.79999999999</v>
      </c>
      <c r="I17" s="51">
        <f t="shared" si="17"/>
        <v>142185.79999999999</v>
      </c>
      <c r="J17" s="51">
        <f t="shared" ref="J17" si="18">J22+J32+J37+J42+J27</f>
        <v>737842.90300000005</v>
      </c>
    </row>
    <row r="18" spans="1:10" x14ac:dyDescent="0.25">
      <c r="A18" s="98"/>
      <c r="B18" s="98"/>
      <c r="C18" s="41" t="s">
        <v>73</v>
      </c>
      <c r="D18" s="51">
        <f t="shared" si="15"/>
        <v>41741.979999999996</v>
      </c>
      <c r="E18" s="51">
        <f t="shared" si="12"/>
        <v>46881.279999999999</v>
      </c>
      <c r="F18" s="51">
        <f t="shared" ref="F18" si="19">F23+F33+F38+F43+F28</f>
        <v>45978.451999999997</v>
      </c>
      <c r="G18" s="51">
        <f t="shared" ref="G18:I18" si="20">G23+G33+G38+G43+G28</f>
        <v>36605</v>
      </c>
      <c r="H18" s="51">
        <f t="shared" si="20"/>
        <v>22116.400000000001</v>
      </c>
      <c r="I18" s="51">
        <f t="shared" si="20"/>
        <v>22116.400000000001</v>
      </c>
      <c r="J18" s="51">
        <f t="shared" ref="J18" si="21">J23+J33+J38+J43+J28</f>
        <v>215439.51199999999</v>
      </c>
    </row>
    <row r="19" spans="1:10" x14ac:dyDescent="0.25">
      <c r="A19" s="98"/>
      <c r="B19" s="98"/>
      <c r="C19" s="42" t="s">
        <v>74</v>
      </c>
      <c r="D19" s="51">
        <f t="shared" si="15"/>
        <v>378.6</v>
      </c>
      <c r="E19" s="51">
        <f t="shared" si="12"/>
        <v>383.87400000000002</v>
      </c>
      <c r="F19" s="51">
        <f t="shared" ref="F19" si="22">F24+F34+F39+F44+F29</f>
        <v>464.18099999999998</v>
      </c>
      <c r="G19" s="51">
        <f t="shared" ref="G19:I19" si="23">G24+G34+G39+G44+G29</f>
        <v>0</v>
      </c>
      <c r="H19" s="51">
        <f t="shared" si="23"/>
        <v>0</v>
      </c>
      <c r="I19" s="51">
        <f t="shared" si="23"/>
        <v>0</v>
      </c>
      <c r="J19" s="51">
        <f t="shared" ref="J19" si="24">J24+J34+J39+J44+J29</f>
        <v>1226.655</v>
      </c>
    </row>
    <row r="20" spans="1:10" x14ac:dyDescent="0.25">
      <c r="A20" s="79" t="s">
        <v>13</v>
      </c>
      <c r="B20" s="96" t="s">
        <v>20</v>
      </c>
      <c r="C20" s="39" t="s">
        <v>70</v>
      </c>
      <c r="D20" s="52">
        <f>D22+D23+D24</f>
        <v>9800.7000000000007</v>
      </c>
      <c r="E20" s="52">
        <f t="shared" ref="E20:J20" si="25">E22+E23+E24</f>
        <v>9979.7999999999993</v>
      </c>
      <c r="F20" s="52">
        <f t="shared" si="25"/>
        <v>10829.7</v>
      </c>
      <c r="G20" s="52">
        <f t="shared" si="25"/>
        <v>12850.4</v>
      </c>
      <c r="H20" s="52">
        <f t="shared" si="25"/>
        <v>12683</v>
      </c>
      <c r="I20" s="52">
        <f t="shared" si="25"/>
        <v>12683</v>
      </c>
      <c r="J20" s="52">
        <f t="shared" si="25"/>
        <v>68826.600000000006</v>
      </c>
    </row>
    <row r="21" spans="1:10" x14ac:dyDescent="0.25">
      <c r="A21" s="80"/>
      <c r="B21" s="97"/>
      <c r="C21" s="40" t="s">
        <v>71</v>
      </c>
      <c r="D21" s="37"/>
      <c r="E21" s="37"/>
      <c r="F21" s="37"/>
      <c r="G21" s="37"/>
      <c r="H21" s="37"/>
      <c r="I21" s="37"/>
      <c r="J21" s="57">
        <f t="shared" ref="J21:J74" si="26">D21+E21+F21+G21+H21+I21</f>
        <v>0</v>
      </c>
    </row>
    <row r="22" spans="1:10" ht="21.75" customHeight="1" x14ac:dyDescent="0.25">
      <c r="A22" s="80"/>
      <c r="B22" s="97"/>
      <c r="C22" s="41" t="s">
        <v>72</v>
      </c>
      <c r="D22" s="37">
        <v>9800.7000000000007</v>
      </c>
      <c r="E22" s="37">
        <v>9979.7999999999993</v>
      </c>
      <c r="F22" s="37">
        <v>10829.7</v>
      </c>
      <c r="G22" s="37">
        <v>12850.4</v>
      </c>
      <c r="H22" s="37">
        <v>12683</v>
      </c>
      <c r="I22" s="37">
        <v>12683</v>
      </c>
      <c r="J22" s="57">
        <f t="shared" si="26"/>
        <v>68826.600000000006</v>
      </c>
    </row>
    <row r="23" spans="1:10" ht="15" customHeight="1" x14ac:dyDescent="0.25">
      <c r="A23" s="80"/>
      <c r="B23" s="97"/>
      <c r="C23" s="41" t="s">
        <v>73</v>
      </c>
      <c r="D23" s="37"/>
      <c r="E23" s="37"/>
      <c r="F23" s="37"/>
      <c r="G23" s="37"/>
      <c r="H23" s="37"/>
      <c r="I23" s="37"/>
      <c r="J23" s="57">
        <f t="shared" si="26"/>
        <v>0</v>
      </c>
    </row>
    <row r="24" spans="1:10" ht="39" customHeight="1" x14ac:dyDescent="0.25">
      <c r="A24" s="80"/>
      <c r="B24" s="97"/>
      <c r="C24" s="42" t="s">
        <v>74</v>
      </c>
      <c r="D24" s="37"/>
      <c r="E24" s="37">
        <f>D24*1.05187</f>
        <v>0</v>
      </c>
      <c r="F24" s="37"/>
      <c r="G24" s="37"/>
      <c r="H24" s="37"/>
      <c r="I24" s="37"/>
      <c r="J24" s="57">
        <f t="shared" si="26"/>
        <v>0</v>
      </c>
    </row>
    <row r="25" spans="1:10" x14ac:dyDescent="0.25">
      <c r="A25" s="79" t="s">
        <v>76</v>
      </c>
      <c r="B25" s="79" t="s">
        <v>21</v>
      </c>
      <c r="C25" s="39" t="s">
        <v>70</v>
      </c>
      <c r="D25" s="52">
        <f>D26+D27</f>
        <v>111426.6</v>
      </c>
      <c r="E25" s="52">
        <f>E26+E27</f>
        <v>104331.8</v>
      </c>
      <c r="F25" s="52">
        <f>F26+F27</f>
        <v>94617.5</v>
      </c>
      <c r="G25" s="52">
        <f>G26+G27</f>
        <v>93719.7</v>
      </c>
      <c r="H25" s="52">
        <f t="shared" ref="H25:J25" si="27">H26+H27</f>
        <v>129502.8</v>
      </c>
      <c r="I25" s="52">
        <f t="shared" si="27"/>
        <v>129502.8</v>
      </c>
      <c r="J25" s="52">
        <f t="shared" si="27"/>
        <v>663101.20000000007</v>
      </c>
    </row>
    <row r="26" spans="1:10" x14ac:dyDescent="0.25">
      <c r="A26" s="80"/>
      <c r="B26" s="80"/>
      <c r="C26" s="40" t="s">
        <v>71</v>
      </c>
      <c r="D26" s="38"/>
      <c r="E26" s="38"/>
      <c r="F26" s="38"/>
      <c r="G26" s="38"/>
      <c r="H26" s="38"/>
      <c r="I26" s="38"/>
      <c r="J26" s="57">
        <f t="shared" si="26"/>
        <v>0</v>
      </c>
    </row>
    <row r="27" spans="1:10" x14ac:dyDescent="0.25">
      <c r="A27" s="80"/>
      <c r="B27" s="80"/>
      <c r="C27" s="41" t="s">
        <v>72</v>
      </c>
      <c r="D27" s="38">
        <v>111426.6</v>
      </c>
      <c r="E27" s="38">
        <v>104331.8</v>
      </c>
      <c r="F27" s="38">
        <v>94617.5</v>
      </c>
      <c r="G27" s="38">
        <v>93719.7</v>
      </c>
      <c r="H27" s="38">
        <v>129502.8</v>
      </c>
      <c r="I27" s="38">
        <v>129502.8</v>
      </c>
      <c r="J27" s="57">
        <f t="shared" si="26"/>
        <v>663101.20000000007</v>
      </c>
    </row>
    <row r="28" spans="1:10" ht="21" customHeight="1" x14ac:dyDescent="0.25">
      <c r="A28" s="80"/>
      <c r="B28" s="80"/>
      <c r="C28" s="41" t="s">
        <v>73</v>
      </c>
      <c r="D28" s="37"/>
      <c r="E28" s="37"/>
      <c r="F28" s="38"/>
      <c r="G28" s="38"/>
      <c r="H28" s="38"/>
      <c r="I28" s="38"/>
      <c r="J28" s="57">
        <f t="shared" si="26"/>
        <v>0</v>
      </c>
    </row>
    <row r="29" spans="1:10" ht="15.75" customHeight="1" x14ac:dyDescent="0.25">
      <c r="A29" s="80"/>
      <c r="B29" s="80"/>
      <c r="C29" s="42" t="s">
        <v>74</v>
      </c>
      <c r="D29" s="37"/>
      <c r="E29" s="37"/>
      <c r="F29" s="38"/>
      <c r="G29" s="38"/>
      <c r="H29" s="38"/>
      <c r="I29" s="38"/>
      <c r="J29" s="57">
        <f t="shared" si="26"/>
        <v>0</v>
      </c>
    </row>
    <row r="30" spans="1:10" ht="30.75" customHeight="1" x14ac:dyDescent="0.25">
      <c r="A30" s="98" t="s">
        <v>77</v>
      </c>
      <c r="B30" s="98" t="s">
        <v>22</v>
      </c>
      <c r="C30" s="39" t="s">
        <v>70</v>
      </c>
      <c r="D30" s="52">
        <f>D31+D32+D33+D34</f>
        <v>946.68</v>
      </c>
      <c r="E30" s="52">
        <f t="shared" ref="E30:J30" si="28">E31+E32+E33+E34</f>
        <v>944.56</v>
      </c>
      <c r="F30" s="52">
        <f t="shared" si="28"/>
        <v>938.83799999999997</v>
      </c>
      <c r="G30" s="52">
        <f t="shared" si="28"/>
        <v>410</v>
      </c>
      <c r="H30" s="52">
        <f t="shared" si="28"/>
        <v>30</v>
      </c>
      <c r="I30" s="52">
        <f t="shared" si="28"/>
        <v>30</v>
      </c>
      <c r="J30" s="52">
        <f t="shared" si="28"/>
        <v>3300.0779999999995</v>
      </c>
    </row>
    <row r="31" spans="1:10" ht="22.5" customHeight="1" x14ac:dyDescent="0.25">
      <c r="A31" s="98"/>
      <c r="B31" s="98"/>
      <c r="C31" s="40" t="s">
        <v>71</v>
      </c>
      <c r="D31" s="37"/>
      <c r="E31" s="37"/>
      <c r="F31" s="37"/>
      <c r="G31" s="38"/>
      <c r="H31" s="38"/>
      <c r="I31" s="38"/>
      <c r="J31" s="57">
        <f t="shared" si="26"/>
        <v>0</v>
      </c>
    </row>
    <row r="32" spans="1:10" ht="22.5" customHeight="1" x14ac:dyDescent="0.25">
      <c r="A32" s="98"/>
      <c r="B32" s="98"/>
      <c r="C32" s="41" t="s">
        <v>72</v>
      </c>
      <c r="D32" s="37">
        <v>469.9</v>
      </c>
      <c r="E32" s="37">
        <v>472.28</v>
      </c>
      <c r="F32" s="37">
        <v>469.68900000000002</v>
      </c>
      <c r="G32" s="38"/>
      <c r="H32" s="38"/>
      <c r="I32" s="38"/>
      <c r="J32" s="57">
        <f t="shared" si="26"/>
        <v>1411.8689999999999</v>
      </c>
    </row>
    <row r="33" spans="1:10" ht="22.5" customHeight="1" x14ac:dyDescent="0.25">
      <c r="A33" s="98"/>
      <c r="B33" s="98"/>
      <c r="C33" s="41" t="s">
        <v>73</v>
      </c>
      <c r="D33" s="37">
        <v>476.78</v>
      </c>
      <c r="E33" s="37">
        <v>472.28</v>
      </c>
      <c r="F33" s="37">
        <v>469.149</v>
      </c>
      <c r="G33" s="38">
        <v>410</v>
      </c>
      <c r="H33" s="38">
        <v>30</v>
      </c>
      <c r="I33" s="38">
        <v>30</v>
      </c>
      <c r="J33" s="57">
        <f t="shared" si="26"/>
        <v>1888.2089999999998</v>
      </c>
    </row>
    <row r="34" spans="1:10" ht="14.25" customHeight="1" x14ac:dyDescent="0.25">
      <c r="A34" s="98"/>
      <c r="B34" s="98"/>
      <c r="C34" s="42" t="s">
        <v>74</v>
      </c>
      <c r="D34" s="37"/>
      <c r="E34" s="37"/>
      <c r="F34" s="37"/>
      <c r="G34" s="38"/>
      <c r="H34" s="38"/>
      <c r="I34" s="38"/>
      <c r="J34" s="57">
        <f t="shared" si="26"/>
        <v>0</v>
      </c>
    </row>
    <row r="35" spans="1:10" ht="23.25" customHeight="1" x14ac:dyDescent="0.25">
      <c r="A35" s="81" t="s">
        <v>24</v>
      </c>
      <c r="B35" s="79" t="s">
        <v>53</v>
      </c>
      <c r="C35" s="39" t="s">
        <v>70</v>
      </c>
      <c r="D35" s="53">
        <f>D36+D37+D38+D39</f>
        <v>44426.39</v>
      </c>
      <c r="E35" s="53">
        <f t="shared" ref="E35:J35" si="29">E36+E37+E38+E39</f>
        <v>74633.683999999994</v>
      </c>
      <c r="F35" s="53">
        <f t="shared" si="29"/>
        <v>47231.802000000003</v>
      </c>
      <c r="G35" s="53">
        <f t="shared" si="29"/>
        <v>35995</v>
      </c>
      <c r="H35" s="53">
        <f t="shared" si="29"/>
        <v>22036.400000000001</v>
      </c>
      <c r="I35" s="53">
        <f t="shared" si="29"/>
        <v>22036.400000000001</v>
      </c>
      <c r="J35" s="53">
        <f t="shared" si="29"/>
        <v>246359.67600000001</v>
      </c>
    </row>
    <row r="36" spans="1:10" ht="22.5" customHeight="1" x14ac:dyDescent="0.25">
      <c r="A36" s="81"/>
      <c r="B36" s="80"/>
      <c r="C36" s="40" t="s">
        <v>71</v>
      </c>
      <c r="D36" s="37">
        <v>2207.5</v>
      </c>
      <c r="E36" s="37">
        <f>932*3+23300+0.395</f>
        <v>26096.395</v>
      </c>
      <c r="F36" s="37">
        <v>743.21299999999997</v>
      </c>
      <c r="G36" s="37"/>
      <c r="H36" s="37"/>
      <c r="I36" s="37"/>
      <c r="J36" s="57">
        <f t="shared" si="26"/>
        <v>29047.108</v>
      </c>
    </row>
    <row r="37" spans="1:10" ht="22.5" customHeight="1" x14ac:dyDescent="0.25">
      <c r="A37" s="81"/>
      <c r="B37" s="80"/>
      <c r="C37" s="41" t="s">
        <v>72</v>
      </c>
      <c r="D37" s="37">
        <v>628.9</v>
      </c>
      <c r="E37" s="37">
        <f>1198.8+600+0.62-0.005</f>
        <v>1799.4149999999997</v>
      </c>
      <c r="F37" s="37">
        <v>600</v>
      </c>
      <c r="G37" s="37"/>
      <c r="H37" s="37"/>
      <c r="I37" s="37"/>
      <c r="J37" s="57">
        <f t="shared" si="26"/>
        <v>3028.3149999999996</v>
      </c>
    </row>
    <row r="38" spans="1:10" ht="22.5" customHeight="1" x14ac:dyDescent="0.25">
      <c r="A38" s="81"/>
      <c r="B38" s="80"/>
      <c r="C38" s="41" t="s">
        <v>73</v>
      </c>
      <c r="D38" s="37">
        <v>41211.39</v>
      </c>
      <c r="E38" s="37">
        <f>31373.49+14980.51</f>
        <v>46354</v>
      </c>
      <c r="F38" s="37">
        <v>45424.408000000003</v>
      </c>
      <c r="G38" s="37">
        <v>35995</v>
      </c>
      <c r="H38" s="37">
        <v>22036.400000000001</v>
      </c>
      <c r="I38" s="37">
        <v>22036.400000000001</v>
      </c>
      <c r="J38" s="57">
        <f t="shared" si="26"/>
        <v>213057.598</v>
      </c>
    </row>
    <row r="39" spans="1:10" ht="17.25" customHeight="1" x14ac:dyDescent="0.25">
      <c r="A39" s="81"/>
      <c r="B39" s="80"/>
      <c r="C39" s="42" t="s">
        <v>74</v>
      </c>
      <c r="D39" s="37">
        <v>378.6</v>
      </c>
      <c r="E39" s="37">
        <v>383.87400000000002</v>
      </c>
      <c r="F39" s="37">
        <v>464.18099999999998</v>
      </c>
      <c r="G39" s="37"/>
      <c r="H39" s="37"/>
      <c r="I39" s="37"/>
      <c r="J39" s="57">
        <f t="shared" si="26"/>
        <v>1226.655</v>
      </c>
    </row>
    <row r="40" spans="1:10" ht="21" customHeight="1" x14ac:dyDescent="0.25">
      <c r="A40" s="100" t="s">
        <v>25</v>
      </c>
      <c r="B40" s="98" t="s">
        <v>26</v>
      </c>
      <c r="C40" s="39" t="s">
        <v>70</v>
      </c>
      <c r="D40" s="54">
        <f>D41+D42+D43+D44</f>
        <v>564.32999999999993</v>
      </c>
      <c r="E40" s="54">
        <f t="shared" ref="E40:J40" si="30">E41+E42+E43+E44</f>
        <v>542.29999999999995</v>
      </c>
      <c r="F40" s="54">
        <f t="shared" si="30"/>
        <v>561.99400000000003</v>
      </c>
      <c r="G40" s="54">
        <f t="shared" si="30"/>
        <v>200</v>
      </c>
      <c r="H40" s="54">
        <f t="shared" si="30"/>
        <v>50</v>
      </c>
      <c r="I40" s="54">
        <f t="shared" si="30"/>
        <v>50</v>
      </c>
      <c r="J40" s="54">
        <f t="shared" si="30"/>
        <v>1968.6239999999998</v>
      </c>
    </row>
    <row r="41" spans="1:10" ht="30" customHeight="1" x14ac:dyDescent="0.25">
      <c r="A41" s="100"/>
      <c r="B41" s="98"/>
      <c r="C41" s="40" t="s">
        <v>71</v>
      </c>
      <c r="D41" s="34"/>
      <c r="E41" s="34"/>
      <c r="F41" s="34"/>
      <c r="G41" s="38"/>
      <c r="H41" s="38"/>
      <c r="I41" s="38"/>
      <c r="J41" s="57">
        <f t="shared" si="26"/>
        <v>0</v>
      </c>
    </row>
    <row r="42" spans="1:10" ht="21" customHeight="1" x14ac:dyDescent="0.25">
      <c r="A42" s="100"/>
      <c r="B42" s="98"/>
      <c r="C42" s="41" t="s">
        <v>72</v>
      </c>
      <c r="D42" s="34">
        <v>510.52</v>
      </c>
      <c r="E42" s="34">
        <f>542.3-55</f>
        <v>487.29999999999995</v>
      </c>
      <c r="F42" s="34">
        <v>477.09899999999999</v>
      </c>
      <c r="G42" s="34"/>
      <c r="H42" s="34"/>
      <c r="I42" s="34"/>
      <c r="J42" s="57">
        <f t="shared" si="26"/>
        <v>1474.9189999999999</v>
      </c>
    </row>
    <row r="43" spans="1:10" ht="21" customHeight="1" x14ac:dyDescent="0.25">
      <c r="A43" s="100"/>
      <c r="B43" s="98"/>
      <c r="C43" s="41" t="s">
        <v>73</v>
      </c>
      <c r="D43" s="34">
        <v>53.81</v>
      </c>
      <c r="E43" s="34">
        <v>55</v>
      </c>
      <c r="F43" s="55">
        <v>84.894999999999996</v>
      </c>
      <c r="G43" s="55">
        <v>200</v>
      </c>
      <c r="H43" s="55">
        <v>50</v>
      </c>
      <c r="I43" s="55">
        <v>50</v>
      </c>
      <c r="J43" s="57">
        <f t="shared" si="26"/>
        <v>493.70499999999998</v>
      </c>
    </row>
    <row r="44" spans="1:10" ht="21" customHeight="1" x14ac:dyDescent="0.25">
      <c r="A44" s="100"/>
      <c r="B44" s="98"/>
      <c r="C44" s="42" t="s">
        <v>74</v>
      </c>
      <c r="D44" s="34"/>
      <c r="E44" s="34"/>
      <c r="F44" s="34"/>
      <c r="G44" s="34"/>
      <c r="H44" s="34"/>
      <c r="I44" s="34"/>
      <c r="J44" s="57">
        <f t="shared" si="26"/>
        <v>0</v>
      </c>
    </row>
    <row r="45" spans="1:10" x14ac:dyDescent="0.25">
      <c r="A45" s="98" t="s">
        <v>14</v>
      </c>
      <c r="B45" s="98" t="s">
        <v>50</v>
      </c>
      <c r="C45" s="39" t="s">
        <v>70</v>
      </c>
      <c r="D45" s="43">
        <f t="shared" ref="D45:J45" si="31">D46+D47+D48+D49</f>
        <v>7609.25</v>
      </c>
      <c r="E45" s="43">
        <f t="shared" si="31"/>
        <v>11143.875</v>
      </c>
      <c r="F45" s="43">
        <f t="shared" si="31"/>
        <v>11432.833999999999</v>
      </c>
      <c r="G45" s="43">
        <f t="shared" si="31"/>
        <v>12245</v>
      </c>
      <c r="H45" s="43">
        <f t="shared" si="31"/>
        <v>9216</v>
      </c>
      <c r="I45" s="43">
        <f t="shared" si="31"/>
        <v>9216</v>
      </c>
      <c r="J45" s="43">
        <f t="shared" si="31"/>
        <v>60862.958999999995</v>
      </c>
    </row>
    <row r="46" spans="1:10" x14ac:dyDescent="0.25">
      <c r="A46" s="98"/>
      <c r="B46" s="98"/>
      <c r="C46" s="40" t="s">
        <v>71</v>
      </c>
      <c r="D46" s="37">
        <f>D51</f>
        <v>0</v>
      </c>
      <c r="E46" s="37">
        <f t="shared" ref="D46:I49" si="32">E51</f>
        <v>0</v>
      </c>
      <c r="F46" s="37">
        <f t="shared" si="32"/>
        <v>0</v>
      </c>
      <c r="G46" s="37">
        <f t="shared" si="32"/>
        <v>0</v>
      </c>
      <c r="H46" s="37">
        <f t="shared" si="32"/>
        <v>0</v>
      </c>
      <c r="I46" s="37">
        <f t="shared" si="32"/>
        <v>0</v>
      </c>
      <c r="J46" s="57">
        <f t="shared" si="26"/>
        <v>0</v>
      </c>
    </row>
    <row r="47" spans="1:10" x14ac:dyDescent="0.25">
      <c r="A47" s="98"/>
      <c r="B47" s="98"/>
      <c r="C47" s="41" t="s">
        <v>72</v>
      </c>
      <c r="D47" s="37"/>
      <c r="E47" s="37">
        <f t="shared" si="32"/>
        <v>0</v>
      </c>
      <c r="F47" s="37">
        <f t="shared" si="32"/>
        <v>0</v>
      </c>
      <c r="G47" s="37">
        <f t="shared" si="32"/>
        <v>0</v>
      </c>
      <c r="H47" s="37">
        <f t="shared" si="32"/>
        <v>0</v>
      </c>
      <c r="I47" s="37">
        <f t="shared" si="32"/>
        <v>0</v>
      </c>
      <c r="J47" s="57">
        <f t="shared" si="26"/>
        <v>0</v>
      </c>
    </row>
    <row r="48" spans="1:10" x14ac:dyDescent="0.25">
      <c r="A48" s="70"/>
      <c r="B48" s="70"/>
      <c r="C48" s="41" t="s">
        <v>73</v>
      </c>
      <c r="D48" s="37">
        <f t="shared" si="32"/>
        <v>7594.25</v>
      </c>
      <c r="E48" s="37">
        <f t="shared" si="32"/>
        <v>11058.475</v>
      </c>
      <c r="F48" s="37">
        <f t="shared" si="32"/>
        <v>11369.962</v>
      </c>
      <c r="G48" s="37">
        <f t="shared" si="32"/>
        <v>12245</v>
      </c>
      <c r="H48" s="37">
        <f t="shared" si="32"/>
        <v>9216</v>
      </c>
      <c r="I48" s="37">
        <f t="shared" si="32"/>
        <v>9216</v>
      </c>
      <c r="J48" s="57">
        <f t="shared" si="26"/>
        <v>60699.686999999998</v>
      </c>
    </row>
    <row r="49" spans="1:10" x14ac:dyDescent="0.25">
      <c r="A49" s="70"/>
      <c r="B49" s="70"/>
      <c r="C49" s="42" t="s">
        <v>74</v>
      </c>
      <c r="D49" s="37">
        <v>15</v>
      </c>
      <c r="E49" s="37">
        <f t="shared" si="32"/>
        <v>85.4</v>
      </c>
      <c r="F49" s="37">
        <f t="shared" si="32"/>
        <v>62.872</v>
      </c>
      <c r="G49" s="37">
        <f t="shared" si="32"/>
        <v>0</v>
      </c>
      <c r="H49" s="37">
        <f t="shared" si="32"/>
        <v>0</v>
      </c>
      <c r="I49" s="37">
        <f t="shared" si="32"/>
        <v>0</v>
      </c>
      <c r="J49" s="57">
        <f t="shared" si="26"/>
        <v>163.27199999999999</v>
      </c>
    </row>
    <row r="50" spans="1:10" ht="32.25" customHeight="1" x14ac:dyDescent="0.25">
      <c r="A50" s="79" t="s">
        <v>31</v>
      </c>
      <c r="B50" s="79" t="s">
        <v>29</v>
      </c>
      <c r="C50" s="39" t="s">
        <v>70</v>
      </c>
      <c r="D50" s="37">
        <f>D51+D52+D53+D54</f>
        <v>7609.25</v>
      </c>
      <c r="E50" s="37">
        <f t="shared" ref="E50:I50" si="33">E51+E52+E53+E54</f>
        <v>11143.875</v>
      </c>
      <c r="F50" s="37">
        <f t="shared" si="33"/>
        <v>11432.833999999999</v>
      </c>
      <c r="G50" s="37">
        <f t="shared" si="33"/>
        <v>12245</v>
      </c>
      <c r="H50" s="37">
        <f t="shared" si="33"/>
        <v>9216</v>
      </c>
      <c r="I50" s="37">
        <f t="shared" si="33"/>
        <v>9216</v>
      </c>
      <c r="J50" s="57">
        <f t="shared" si="26"/>
        <v>60862.959000000003</v>
      </c>
    </row>
    <row r="51" spans="1:10" ht="30" customHeight="1" x14ac:dyDescent="0.25">
      <c r="A51" s="101"/>
      <c r="B51" s="80"/>
      <c r="C51" s="40" t="s">
        <v>71</v>
      </c>
      <c r="D51" s="37"/>
      <c r="E51" s="37"/>
      <c r="F51" s="37"/>
      <c r="G51" s="38"/>
      <c r="H51" s="38"/>
      <c r="I51" s="38"/>
      <c r="J51" s="57">
        <f t="shared" si="26"/>
        <v>0</v>
      </c>
    </row>
    <row r="52" spans="1:10" ht="30" customHeight="1" x14ac:dyDescent="0.25">
      <c r="A52" s="101"/>
      <c r="B52" s="80"/>
      <c r="C52" s="41" t="s">
        <v>72</v>
      </c>
      <c r="D52" s="37"/>
      <c r="E52" s="37"/>
      <c r="F52" s="37"/>
      <c r="G52" s="38"/>
      <c r="H52" s="38"/>
      <c r="I52" s="38"/>
      <c r="J52" s="57">
        <f t="shared" si="26"/>
        <v>0</v>
      </c>
    </row>
    <row r="53" spans="1:10" ht="36.75" customHeight="1" x14ac:dyDescent="0.25">
      <c r="A53" s="101"/>
      <c r="B53" s="80"/>
      <c r="C53" s="41" t="s">
        <v>73</v>
      </c>
      <c r="D53" s="37">
        <v>7594.25</v>
      </c>
      <c r="E53" s="37">
        <f>11143.875-85.4</f>
        <v>11058.475</v>
      </c>
      <c r="F53" s="37">
        <v>11369.962</v>
      </c>
      <c r="G53" s="38">
        <v>12245</v>
      </c>
      <c r="H53" s="38">
        <v>9216</v>
      </c>
      <c r="I53" s="38">
        <v>9216</v>
      </c>
      <c r="J53" s="57">
        <f t="shared" si="26"/>
        <v>60699.686999999998</v>
      </c>
    </row>
    <row r="54" spans="1:10" ht="19.5" customHeight="1" x14ac:dyDescent="0.25">
      <c r="A54" s="101"/>
      <c r="B54" s="80"/>
      <c r="C54" s="42" t="s">
        <v>74</v>
      </c>
      <c r="D54" s="37">
        <v>15</v>
      </c>
      <c r="E54" s="37">
        <v>85.4</v>
      </c>
      <c r="F54" s="37">
        <v>62.872</v>
      </c>
      <c r="G54" s="37"/>
      <c r="H54" s="37"/>
      <c r="I54" s="37"/>
      <c r="J54" s="57">
        <f t="shared" si="26"/>
        <v>163.27199999999999</v>
      </c>
    </row>
    <row r="55" spans="1:10" ht="21.75" customHeight="1" x14ac:dyDescent="0.25">
      <c r="A55" s="79" t="s">
        <v>18</v>
      </c>
      <c r="B55" s="79" t="s">
        <v>61</v>
      </c>
      <c r="C55" s="39" t="s">
        <v>70</v>
      </c>
      <c r="D55" s="32">
        <f>D56+D57+D58+D59</f>
        <v>348.74</v>
      </c>
      <c r="E55" s="32">
        <f t="shared" ref="E55:J55" si="34">E56+E57+E58+E59</f>
        <v>311.19200000000001</v>
      </c>
      <c r="F55" s="32">
        <f t="shared" si="34"/>
        <v>359.142</v>
      </c>
      <c r="G55" s="32">
        <f t="shared" si="34"/>
        <v>388</v>
      </c>
      <c r="H55" s="32">
        <f t="shared" si="34"/>
        <v>300</v>
      </c>
      <c r="I55" s="32">
        <f t="shared" si="34"/>
        <v>300</v>
      </c>
      <c r="J55" s="32">
        <f t="shared" si="34"/>
        <v>2007.0740000000001</v>
      </c>
    </row>
    <row r="56" spans="1:10" ht="18.75" customHeight="1" x14ac:dyDescent="0.25">
      <c r="A56" s="80"/>
      <c r="B56" s="80"/>
      <c r="C56" s="40" t="s">
        <v>71</v>
      </c>
      <c r="D56" s="34">
        <f>D61</f>
        <v>0</v>
      </c>
      <c r="E56" s="34">
        <f t="shared" ref="E56:I56" si="35">E61</f>
        <v>0</v>
      </c>
      <c r="F56" s="34">
        <f t="shared" si="35"/>
        <v>0</v>
      </c>
      <c r="G56" s="34">
        <f t="shared" si="35"/>
        <v>0</v>
      </c>
      <c r="H56" s="34">
        <f t="shared" si="35"/>
        <v>0</v>
      </c>
      <c r="I56" s="34">
        <f t="shared" si="35"/>
        <v>0</v>
      </c>
      <c r="J56" s="57">
        <f t="shared" si="26"/>
        <v>0</v>
      </c>
    </row>
    <row r="57" spans="1:10" ht="19.5" customHeight="1" x14ac:dyDescent="0.25">
      <c r="A57" s="80"/>
      <c r="B57" s="80"/>
      <c r="C57" s="41" t="s">
        <v>72</v>
      </c>
      <c r="D57" s="34">
        <f t="shared" ref="D57:I59" si="36">D62</f>
        <v>15</v>
      </c>
      <c r="E57" s="34">
        <f t="shared" si="36"/>
        <v>28.4</v>
      </c>
      <c r="F57" s="34">
        <f t="shared" si="36"/>
        <v>0</v>
      </c>
      <c r="G57" s="34">
        <f t="shared" si="36"/>
        <v>0</v>
      </c>
      <c r="H57" s="34">
        <f t="shared" si="36"/>
        <v>0</v>
      </c>
      <c r="I57" s="34">
        <f t="shared" si="36"/>
        <v>0</v>
      </c>
      <c r="J57" s="57">
        <f t="shared" si="26"/>
        <v>43.4</v>
      </c>
    </row>
    <row r="58" spans="1:10" ht="16.5" customHeight="1" x14ac:dyDescent="0.25">
      <c r="A58" s="80"/>
      <c r="B58" s="80"/>
      <c r="C58" s="41" t="s">
        <v>73</v>
      </c>
      <c r="D58" s="34">
        <f t="shared" si="36"/>
        <v>333.74</v>
      </c>
      <c r="E58" s="34">
        <f t="shared" si="36"/>
        <v>282.79200000000003</v>
      </c>
      <c r="F58" s="34">
        <f t="shared" si="36"/>
        <v>359.142</v>
      </c>
      <c r="G58" s="34">
        <f t="shared" si="36"/>
        <v>388</v>
      </c>
      <c r="H58" s="34">
        <f t="shared" si="36"/>
        <v>300</v>
      </c>
      <c r="I58" s="34">
        <f t="shared" si="36"/>
        <v>300</v>
      </c>
      <c r="J58" s="57">
        <f t="shared" si="26"/>
        <v>1963.674</v>
      </c>
    </row>
    <row r="59" spans="1:10" ht="31.5" customHeight="1" x14ac:dyDescent="0.25">
      <c r="A59" s="82"/>
      <c r="B59" s="82"/>
      <c r="C59" s="42" t="s">
        <v>74</v>
      </c>
      <c r="D59" s="34">
        <f t="shared" si="36"/>
        <v>0</v>
      </c>
      <c r="E59" s="34">
        <f t="shared" si="36"/>
        <v>0</v>
      </c>
      <c r="F59" s="34">
        <f t="shared" si="36"/>
        <v>0</v>
      </c>
      <c r="G59" s="34">
        <f t="shared" si="36"/>
        <v>0</v>
      </c>
      <c r="H59" s="34">
        <f t="shared" si="36"/>
        <v>0</v>
      </c>
      <c r="I59" s="34">
        <f t="shared" si="36"/>
        <v>0</v>
      </c>
      <c r="J59" s="57">
        <f t="shared" si="26"/>
        <v>0</v>
      </c>
    </row>
    <row r="60" spans="1:10" ht="19.5" customHeight="1" x14ac:dyDescent="0.25">
      <c r="A60" s="96" t="s">
        <v>35</v>
      </c>
      <c r="B60" s="79" t="s">
        <v>17</v>
      </c>
      <c r="C60" s="39" t="s">
        <v>70</v>
      </c>
      <c r="D60" s="34">
        <f>D61+D62+D63+D64</f>
        <v>348.74</v>
      </c>
      <c r="E60" s="34">
        <f t="shared" ref="E60:I60" si="37">E61+E62+E63+E64</f>
        <v>311.19200000000001</v>
      </c>
      <c r="F60" s="34">
        <f t="shared" si="37"/>
        <v>359.142</v>
      </c>
      <c r="G60" s="34">
        <f t="shared" si="37"/>
        <v>388</v>
      </c>
      <c r="H60" s="34">
        <f t="shared" si="37"/>
        <v>300</v>
      </c>
      <c r="I60" s="34">
        <f t="shared" si="37"/>
        <v>300</v>
      </c>
      <c r="J60" s="57">
        <f t="shared" si="26"/>
        <v>2007.0740000000001</v>
      </c>
    </row>
    <row r="61" spans="1:10" ht="26.25" customHeight="1" x14ac:dyDescent="0.25">
      <c r="A61" s="97"/>
      <c r="B61" s="80"/>
      <c r="C61" s="40" t="s">
        <v>71</v>
      </c>
      <c r="D61" s="34"/>
      <c r="E61" s="34"/>
      <c r="F61" s="34"/>
      <c r="G61" s="38"/>
      <c r="H61" s="38"/>
      <c r="I61" s="38"/>
      <c r="J61" s="57">
        <f t="shared" si="26"/>
        <v>0</v>
      </c>
    </row>
    <row r="62" spans="1:10" ht="19.5" customHeight="1" x14ac:dyDescent="0.25">
      <c r="A62" s="97"/>
      <c r="B62" s="80"/>
      <c r="C62" s="41" t="s">
        <v>72</v>
      </c>
      <c r="D62" s="34">
        <v>15</v>
      </c>
      <c r="E62" s="34">
        <v>28.4</v>
      </c>
      <c r="F62" s="35"/>
      <c r="G62" s="38"/>
      <c r="H62" s="38"/>
      <c r="I62" s="38"/>
      <c r="J62" s="57">
        <f t="shared" si="26"/>
        <v>43.4</v>
      </c>
    </row>
    <row r="63" spans="1:10" ht="19.5" customHeight="1" x14ac:dyDescent="0.25">
      <c r="A63" s="97"/>
      <c r="B63" s="80"/>
      <c r="C63" s="41" t="s">
        <v>73</v>
      </c>
      <c r="D63" s="34">
        <v>333.74</v>
      </c>
      <c r="E63" s="34">
        <f>311.192-28.4</f>
        <v>282.79200000000003</v>
      </c>
      <c r="F63" s="34">
        <v>359.142</v>
      </c>
      <c r="G63" s="34">
        <v>388</v>
      </c>
      <c r="H63" s="34">
        <v>300</v>
      </c>
      <c r="I63" s="34">
        <v>300</v>
      </c>
      <c r="J63" s="57">
        <f t="shared" si="26"/>
        <v>1963.674</v>
      </c>
    </row>
    <row r="64" spans="1:10" ht="19.5" customHeight="1" x14ac:dyDescent="0.25">
      <c r="A64" s="97"/>
      <c r="B64" s="80"/>
      <c r="C64" s="42" t="s">
        <v>75</v>
      </c>
      <c r="D64" s="34"/>
      <c r="E64" s="35"/>
      <c r="F64" s="35"/>
      <c r="G64" s="38"/>
      <c r="H64" s="38"/>
      <c r="I64" s="38"/>
      <c r="J64" s="57">
        <f t="shared" si="26"/>
        <v>0</v>
      </c>
    </row>
    <row r="65" spans="1:10" x14ac:dyDescent="0.25">
      <c r="A65" s="98" t="s">
        <v>51</v>
      </c>
      <c r="B65" s="99" t="s">
        <v>52</v>
      </c>
      <c r="C65" s="39" t="s">
        <v>70</v>
      </c>
      <c r="D65" s="43">
        <f>D66+D67+D68+D69</f>
        <v>21296.379999999997</v>
      </c>
      <c r="E65" s="43">
        <f t="shared" ref="E65:J65" si="38">E66+E67+E68+E69</f>
        <v>21724.929209999998</v>
      </c>
      <c r="F65" s="43">
        <f t="shared" si="38"/>
        <v>22059.018000000004</v>
      </c>
      <c r="G65" s="43">
        <f t="shared" si="38"/>
        <v>20380.900000000001</v>
      </c>
      <c r="H65" s="43">
        <f t="shared" si="38"/>
        <v>22213.1</v>
      </c>
      <c r="I65" s="43">
        <f t="shared" si="38"/>
        <v>22213.1</v>
      </c>
      <c r="J65" s="43">
        <f t="shared" si="38"/>
        <v>129887.42721000001</v>
      </c>
    </row>
    <row r="66" spans="1:10" x14ac:dyDescent="0.25">
      <c r="A66" s="98"/>
      <c r="B66" s="99"/>
      <c r="C66" s="40" t="s">
        <v>71</v>
      </c>
      <c r="D66" s="37">
        <f>D71+D76+D81+D86+D91+D96+D101+D106+D111+D116</f>
        <v>161.63</v>
      </c>
      <c r="E66" s="37">
        <f t="shared" ref="D66:I69" si="39">E71+E76+E81+E86+E91+E96+E101+E106+E111+E116</f>
        <v>260.20459</v>
      </c>
      <c r="F66" s="37">
        <f t="shared" si="39"/>
        <v>855.346</v>
      </c>
      <c r="G66" s="37">
        <f t="shared" si="39"/>
        <v>454.2</v>
      </c>
      <c r="H66" s="37">
        <f t="shared" si="39"/>
        <v>339.3</v>
      </c>
      <c r="I66" s="37">
        <f t="shared" si="39"/>
        <v>339.3</v>
      </c>
      <c r="J66" s="57">
        <f t="shared" si="26"/>
        <v>2409.9805900000001</v>
      </c>
    </row>
    <row r="67" spans="1:10" x14ac:dyDescent="0.25">
      <c r="A67" s="98"/>
      <c r="B67" s="99"/>
      <c r="C67" s="41" t="s">
        <v>72</v>
      </c>
      <c r="D67" s="37">
        <f>D72+D77+D82+D87+D92+D97+D102+D107+D112+D117</f>
        <v>13558.05</v>
      </c>
      <c r="E67" s="37">
        <f t="shared" si="39"/>
        <v>14954.574619999999</v>
      </c>
      <c r="F67" s="37">
        <f t="shared" si="39"/>
        <v>14129.670000000002</v>
      </c>
      <c r="G67" s="37">
        <f t="shared" ref="G67" si="40">G72+G77+G82+G87+G92+G97+G102+G107+G112+G117</f>
        <v>12726.699999999999</v>
      </c>
      <c r="H67" s="37">
        <f t="shared" si="39"/>
        <v>15525.8</v>
      </c>
      <c r="I67" s="37">
        <f t="shared" si="39"/>
        <v>15525.8</v>
      </c>
      <c r="J67" s="57">
        <f t="shared" si="26"/>
        <v>86420.594620000003</v>
      </c>
    </row>
    <row r="68" spans="1:10" x14ac:dyDescent="0.25">
      <c r="A68" s="98"/>
      <c r="B68" s="99"/>
      <c r="C68" s="41" t="s">
        <v>73</v>
      </c>
      <c r="D68" s="37">
        <f t="shared" si="39"/>
        <v>7576.7</v>
      </c>
      <c r="E68" s="37">
        <f t="shared" si="39"/>
        <v>6510.15</v>
      </c>
      <c r="F68" s="37">
        <f t="shared" si="39"/>
        <v>7074.0020000000013</v>
      </c>
      <c r="G68" s="37">
        <f t="shared" ref="G68" si="41">G73+G78+G83+G88+G93+G98+G103+G108+G113+G118</f>
        <v>7200</v>
      </c>
      <c r="H68" s="37">
        <f t="shared" si="39"/>
        <v>6348</v>
      </c>
      <c r="I68" s="37">
        <f t="shared" si="39"/>
        <v>6348</v>
      </c>
      <c r="J68" s="57">
        <f t="shared" si="26"/>
        <v>41056.851999999999</v>
      </c>
    </row>
    <row r="69" spans="1:10" x14ac:dyDescent="0.25">
      <c r="A69" s="98"/>
      <c r="B69" s="99"/>
      <c r="C69" s="42" t="s">
        <v>75</v>
      </c>
      <c r="D69" s="37">
        <f t="shared" si="39"/>
        <v>0</v>
      </c>
      <c r="E69" s="37">
        <f t="shared" si="39"/>
        <v>0</v>
      </c>
      <c r="F69" s="37">
        <f t="shared" si="39"/>
        <v>0</v>
      </c>
      <c r="G69" s="37">
        <f t="shared" ref="G69" si="42">G74+G79+G84+G89+G94+G99+G104+G109+G114+G119</f>
        <v>0</v>
      </c>
      <c r="H69" s="37">
        <f t="shared" si="39"/>
        <v>0</v>
      </c>
      <c r="I69" s="37">
        <f t="shared" si="39"/>
        <v>0</v>
      </c>
      <c r="J69" s="57">
        <f t="shared" si="26"/>
        <v>0</v>
      </c>
    </row>
    <row r="70" spans="1:10" x14ac:dyDescent="0.25">
      <c r="A70" s="79" t="s">
        <v>32</v>
      </c>
      <c r="B70" s="90" t="s">
        <v>54</v>
      </c>
      <c r="C70" s="39" t="s">
        <v>70</v>
      </c>
      <c r="D70" s="37">
        <f>D71+D72+D73+D74</f>
        <v>5975.42</v>
      </c>
      <c r="E70" s="37">
        <f t="shared" ref="E70:I70" si="43">E71+E72+E73+E74</f>
        <v>4921.45</v>
      </c>
      <c r="F70" s="37">
        <f t="shared" si="43"/>
        <v>5573.7110000000011</v>
      </c>
      <c r="G70" s="37">
        <f t="shared" si="43"/>
        <v>5636</v>
      </c>
      <c r="H70" s="37">
        <f t="shared" si="43"/>
        <v>4814</v>
      </c>
      <c r="I70" s="37">
        <f t="shared" si="43"/>
        <v>4814</v>
      </c>
      <c r="J70" s="57">
        <f t="shared" si="26"/>
        <v>31734.580999999998</v>
      </c>
    </row>
    <row r="71" spans="1:10" x14ac:dyDescent="0.25">
      <c r="A71" s="80"/>
      <c r="B71" s="91"/>
      <c r="C71" s="40" t="s">
        <v>71</v>
      </c>
      <c r="D71" s="37"/>
      <c r="E71" s="37"/>
      <c r="F71" s="37"/>
      <c r="G71" s="37"/>
      <c r="H71" s="37"/>
      <c r="I71" s="37"/>
      <c r="J71" s="57">
        <f t="shared" si="26"/>
        <v>0</v>
      </c>
    </row>
    <row r="72" spans="1:10" ht="20.25" customHeight="1" x14ac:dyDescent="0.25">
      <c r="A72" s="80"/>
      <c r="B72" s="91"/>
      <c r="C72" s="41" t="s">
        <v>72</v>
      </c>
      <c r="D72" s="37"/>
      <c r="E72" s="37"/>
      <c r="F72" s="37"/>
      <c r="G72" s="37"/>
      <c r="H72" s="37"/>
      <c r="I72" s="37"/>
      <c r="J72" s="57">
        <f t="shared" si="26"/>
        <v>0</v>
      </c>
    </row>
    <row r="73" spans="1:10" ht="20.25" customHeight="1" x14ac:dyDescent="0.25">
      <c r="A73" s="81"/>
      <c r="B73" s="81"/>
      <c r="C73" s="41" t="s">
        <v>73</v>
      </c>
      <c r="D73" s="37">
        <v>5975.42</v>
      </c>
      <c r="E73" s="37">
        <v>4921.45</v>
      </c>
      <c r="F73" s="37">
        <f>'2016'!G121</f>
        <v>5573.7110000000011</v>
      </c>
      <c r="G73" s="37">
        <f>'2016'!H121</f>
        <v>5636</v>
      </c>
      <c r="H73" s="37">
        <v>4814</v>
      </c>
      <c r="I73" s="37">
        <v>4814</v>
      </c>
      <c r="J73" s="57">
        <f t="shared" si="26"/>
        <v>31734.580999999998</v>
      </c>
    </row>
    <row r="74" spans="1:10" ht="21.75" customHeight="1" x14ac:dyDescent="0.25">
      <c r="A74" s="81"/>
      <c r="B74" s="81"/>
      <c r="C74" s="42" t="s">
        <v>75</v>
      </c>
      <c r="D74" s="37"/>
      <c r="E74" s="37"/>
      <c r="F74" s="37"/>
      <c r="G74" s="37"/>
      <c r="H74" s="37"/>
      <c r="I74" s="37"/>
      <c r="J74" s="57">
        <f t="shared" si="26"/>
        <v>0</v>
      </c>
    </row>
    <row r="75" spans="1:10" x14ac:dyDescent="0.25">
      <c r="A75" s="92" t="s">
        <v>33</v>
      </c>
      <c r="B75" s="94" t="s">
        <v>27</v>
      </c>
      <c r="C75" s="39" t="s">
        <v>70</v>
      </c>
      <c r="D75" s="43">
        <f>D76+D77+D78+D79</f>
        <v>1601.28</v>
      </c>
      <c r="E75" s="43">
        <f t="shared" ref="E75:J75" si="44">E76+E77+E78+E79</f>
        <v>1588.7</v>
      </c>
      <c r="F75" s="43">
        <f t="shared" si="44"/>
        <v>1500.2909999999999</v>
      </c>
      <c r="G75" s="43">
        <f t="shared" si="44"/>
        <v>1564</v>
      </c>
      <c r="H75" s="43">
        <f t="shared" si="44"/>
        <v>1534</v>
      </c>
      <c r="I75" s="43">
        <f t="shared" si="44"/>
        <v>1534</v>
      </c>
      <c r="J75" s="43">
        <f t="shared" si="44"/>
        <v>9322.2710000000006</v>
      </c>
    </row>
    <row r="76" spans="1:10" x14ac:dyDescent="0.25">
      <c r="A76" s="93"/>
      <c r="B76" s="95"/>
      <c r="C76" s="40" t="s">
        <v>71</v>
      </c>
      <c r="D76" s="56"/>
      <c r="E76" s="56"/>
      <c r="F76" s="56"/>
      <c r="G76" s="57"/>
      <c r="H76" s="57"/>
      <c r="I76" s="57"/>
      <c r="J76" s="57">
        <f t="shared" ref="J76:J119" si="45">D76+E76+F76+G76+H76+I76</f>
        <v>0</v>
      </c>
    </row>
    <row r="77" spans="1:10" ht="29.25" customHeight="1" x14ac:dyDescent="0.25">
      <c r="A77" s="93"/>
      <c r="B77" s="95"/>
      <c r="C77" s="41" t="s">
        <v>72</v>
      </c>
      <c r="D77" s="58"/>
      <c r="E77" s="58"/>
      <c r="F77" s="58"/>
      <c r="G77" s="58"/>
      <c r="H77" s="58"/>
      <c r="I77" s="58"/>
      <c r="J77" s="57">
        <f t="shared" si="45"/>
        <v>0</v>
      </c>
    </row>
    <row r="78" spans="1:10" ht="21" customHeight="1" x14ac:dyDescent="0.25">
      <c r="A78" s="81"/>
      <c r="B78" s="81"/>
      <c r="C78" s="41" t="s">
        <v>73</v>
      </c>
      <c r="D78" s="59">
        <v>1601.28</v>
      </c>
      <c r="E78" s="59">
        <v>1588.7</v>
      </c>
      <c r="F78" s="59">
        <v>1500.2909999999999</v>
      </c>
      <c r="G78" s="59">
        <v>1564</v>
      </c>
      <c r="H78" s="59">
        <v>1534</v>
      </c>
      <c r="I78" s="59">
        <v>1534</v>
      </c>
      <c r="J78" s="57">
        <f t="shared" si="45"/>
        <v>9322.2710000000006</v>
      </c>
    </row>
    <row r="79" spans="1:10" ht="14.25" customHeight="1" x14ac:dyDescent="0.25">
      <c r="A79" s="81"/>
      <c r="B79" s="81"/>
      <c r="C79" s="42" t="s">
        <v>75</v>
      </c>
      <c r="D79" s="59"/>
      <c r="E79" s="59"/>
      <c r="F79" s="59"/>
      <c r="G79" s="59"/>
      <c r="H79" s="59"/>
      <c r="I79" s="59"/>
      <c r="J79" s="57">
        <f t="shared" si="45"/>
        <v>0</v>
      </c>
    </row>
    <row r="80" spans="1:10" ht="35.25" customHeight="1" x14ac:dyDescent="0.25">
      <c r="A80" s="92" t="s">
        <v>36</v>
      </c>
      <c r="B80" s="94" t="s">
        <v>56</v>
      </c>
      <c r="C80" s="39" t="s">
        <v>70</v>
      </c>
      <c r="D80" s="52">
        <f>D81+D82+D83+D84</f>
        <v>797</v>
      </c>
      <c r="E80" s="52">
        <f t="shared" ref="E80:I80" si="46">E81+E82+E83+E84</f>
        <v>797</v>
      </c>
      <c r="F80" s="52">
        <v>786</v>
      </c>
      <c r="G80" s="52">
        <f t="shared" si="46"/>
        <v>773</v>
      </c>
      <c r="H80" s="52">
        <f t="shared" si="46"/>
        <v>822</v>
      </c>
      <c r="I80" s="52">
        <f t="shared" si="46"/>
        <v>822</v>
      </c>
      <c r="J80" s="57">
        <f t="shared" si="45"/>
        <v>4797</v>
      </c>
    </row>
    <row r="81" spans="1:10" ht="34.5" customHeight="1" x14ac:dyDescent="0.25">
      <c r="A81" s="81"/>
      <c r="B81" s="81"/>
      <c r="C81" s="40" t="s">
        <v>71</v>
      </c>
      <c r="D81" s="56"/>
      <c r="E81" s="56"/>
      <c r="F81" s="56"/>
      <c r="G81" s="56"/>
      <c r="H81" s="56"/>
      <c r="I81" s="56"/>
      <c r="J81" s="57">
        <f t="shared" si="45"/>
        <v>0</v>
      </c>
    </row>
    <row r="82" spans="1:10" ht="41.25" customHeight="1" x14ac:dyDescent="0.25">
      <c r="A82" s="81"/>
      <c r="B82" s="81"/>
      <c r="C82" s="41" t="s">
        <v>72</v>
      </c>
      <c r="D82" s="58">
        <v>797</v>
      </c>
      <c r="E82" s="58">
        <v>797</v>
      </c>
      <c r="F82" s="58">
        <f>'2016'!G178</f>
        <v>786</v>
      </c>
      <c r="G82" s="58">
        <v>773</v>
      </c>
      <c r="H82" s="58">
        <v>822</v>
      </c>
      <c r="I82" s="58">
        <v>822</v>
      </c>
      <c r="J82" s="57">
        <f t="shared" si="45"/>
        <v>4797</v>
      </c>
    </row>
    <row r="83" spans="1:10" ht="38.25" customHeight="1" x14ac:dyDescent="0.25">
      <c r="A83" s="81"/>
      <c r="B83" s="81"/>
      <c r="C83" s="41" t="s">
        <v>73</v>
      </c>
      <c r="D83" s="59"/>
      <c r="E83" s="59"/>
      <c r="F83" s="59"/>
      <c r="G83" s="59"/>
      <c r="H83" s="59"/>
      <c r="I83" s="59"/>
      <c r="J83" s="57">
        <f t="shared" si="45"/>
        <v>0</v>
      </c>
    </row>
    <row r="84" spans="1:10" ht="25.5" customHeight="1" x14ac:dyDescent="0.25">
      <c r="A84" s="81"/>
      <c r="B84" s="81"/>
      <c r="C84" s="42" t="s">
        <v>75</v>
      </c>
      <c r="D84" s="59"/>
      <c r="E84" s="59"/>
      <c r="F84" s="59"/>
      <c r="G84" s="59"/>
      <c r="H84" s="59"/>
      <c r="I84" s="59"/>
      <c r="J84" s="57">
        <f t="shared" si="45"/>
        <v>0</v>
      </c>
    </row>
    <row r="85" spans="1:10" ht="23.25" customHeight="1" x14ac:dyDescent="0.25">
      <c r="A85" s="87" t="s">
        <v>38</v>
      </c>
      <c r="B85" s="89" t="s">
        <v>37</v>
      </c>
      <c r="C85" s="39" t="s">
        <v>70</v>
      </c>
      <c r="D85" s="52">
        <f>D87</f>
        <v>3645.5439999999999</v>
      </c>
      <c r="E85" s="52">
        <f t="shared" ref="E85:I85" si="47">E87</f>
        <v>3782.4216200000001</v>
      </c>
      <c r="F85" s="52">
        <f t="shared" si="47"/>
        <v>5069.9279999999999</v>
      </c>
      <c r="G85" s="52">
        <f t="shared" si="47"/>
        <v>5171</v>
      </c>
      <c r="H85" s="52">
        <f t="shared" si="47"/>
        <v>4251</v>
      </c>
      <c r="I85" s="52">
        <f t="shared" si="47"/>
        <v>4251</v>
      </c>
      <c r="J85" s="57">
        <f t="shared" si="45"/>
        <v>26170.893619999999</v>
      </c>
    </row>
    <row r="86" spans="1:10" ht="14.25" customHeight="1" x14ac:dyDescent="0.25">
      <c r="A86" s="87"/>
      <c r="B86" s="89"/>
      <c r="C86" s="40" t="s">
        <v>71</v>
      </c>
      <c r="D86" s="37"/>
      <c r="E86" s="37"/>
      <c r="F86" s="37"/>
      <c r="G86" s="37"/>
      <c r="H86" s="37"/>
      <c r="I86" s="37"/>
      <c r="J86" s="57">
        <f t="shared" si="45"/>
        <v>0</v>
      </c>
    </row>
    <row r="87" spans="1:10" ht="15" customHeight="1" x14ac:dyDescent="0.25">
      <c r="A87" s="87"/>
      <c r="B87" s="89"/>
      <c r="C87" s="41" t="s">
        <v>72</v>
      </c>
      <c r="D87" s="60">
        <v>3645.5439999999999</v>
      </c>
      <c r="E87" s="58">
        <f>'2016'!F189</f>
        <v>3782.4216200000001</v>
      </c>
      <c r="F87" s="58">
        <f>'2016'!G189</f>
        <v>5069.9279999999999</v>
      </c>
      <c r="G87" s="58">
        <f>'2016'!H189</f>
        <v>5171</v>
      </c>
      <c r="H87" s="58">
        <v>4251</v>
      </c>
      <c r="I87" s="58">
        <v>4251</v>
      </c>
      <c r="J87" s="57">
        <f t="shared" si="45"/>
        <v>26170.893619999999</v>
      </c>
    </row>
    <row r="88" spans="1:10" x14ac:dyDescent="0.25">
      <c r="A88" s="88"/>
      <c r="B88" s="88"/>
      <c r="C88" s="41" t="s">
        <v>73</v>
      </c>
      <c r="D88" s="56"/>
      <c r="E88" s="56"/>
      <c r="F88" s="56"/>
      <c r="G88" s="57"/>
      <c r="H88" s="57"/>
      <c r="I88" s="57"/>
      <c r="J88" s="57">
        <f t="shared" si="45"/>
        <v>0</v>
      </c>
    </row>
    <row r="89" spans="1:10" ht="19.5" customHeight="1" x14ac:dyDescent="0.25">
      <c r="A89" s="88"/>
      <c r="B89" s="88"/>
      <c r="C89" s="42" t="s">
        <v>75</v>
      </c>
      <c r="D89" s="60"/>
      <c r="E89" s="58"/>
      <c r="F89" s="58"/>
      <c r="G89" s="58"/>
      <c r="H89" s="58"/>
      <c r="I89" s="58"/>
      <c r="J89" s="57">
        <f t="shared" si="45"/>
        <v>0</v>
      </c>
    </row>
    <row r="90" spans="1:10" x14ac:dyDescent="0.25">
      <c r="A90" s="87" t="s">
        <v>39</v>
      </c>
      <c r="B90" s="89" t="s">
        <v>41</v>
      </c>
      <c r="C90" s="39" t="s">
        <v>70</v>
      </c>
      <c r="D90" s="52">
        <f>D92</f>
        <v>3462.4810000000002</v>
      </c>
      <c r="E90" s="52">
        <f t="shared" ref="E90:I90" si="48">E92</f>
        <v>3646.652</v>
      </c>
      <c r="F90" s="52">
        <f t="shared" si="48"/>
        <v>3582.0410000000002</v>
      </c>
      <c r="G90" s="52">
        <f t="shared" si="48"/>
        <v>3396</v>
      </c>
      <c r="H90" s="52">
        <f t="shared" si="48"/>
        <v>4000</v>
      </c>
      <c r="I90" s="52">
        <f t="shared" si="48"/>
        <v>4000</v>
      </c>
      <c r="J90" s="57">
        <f t="shared" si="45"/>
        <v>22087.173999999999</v>
      </c>
    </row>
    <row r="91" spans="1:10" x14ac:dyDescent="0.25">
      <c r="A91" s="87"/>
      <c r="B91" s="89"/>
      <c r="C91" s="40" t="s">
        <v>71</v>
      </c>
      <c r="D91" s="37"/>
      <c r="E91" s="37"/>
      <c r="F91" s="37"/>
      <c r="G91" s="37"/>
      <c r="H91" s="37"/>
      <c r="I91" s="37"/>
      <c r="J91" s="57">
        <f t="shared" si="45"/>
        <v>0</v>
      </c>
    </row>
    <row r="92" spans="1:10" x14ac:dyDescent="0.25">
      <c r="A92" s="87"/>
      <c r="B92" s="89"/>
      <c r="C92" s="41" t="s">
        <v>72</v>
      </c>
      <c r="D92" s="58">
        <v>3462.4810000000002</v>
      </c>
      <c r="E92" s="58">
        <f>'2016'!F192</f>
        <v>3646.652</v>
      </c>
      <c r="F92" s="58">
        <f>'2016'!G192</f>
        <v>3582.0410000000002</v>
      </c>
      <c r="G92" s="58">
        <f>'2016'!H192</f>
        <v>3396</v>
      </c>
      <c r="H92" s="58">
        <v>4000</v>
      </c>
      <c r="I92" s="58">
        <v>4000</v>
      </c>
      <c r="J92" s="57">
        <f t="shared" si="45"/>
        <v>22087.173999999999</v>
      </c>
    </row>
    <row r="93" spans="1:10" x14ac:dyDescent="0.25">
      <c r="A93" s="88"/>
      <c r="B93" s="88"/>
      <c r="C93" s="41" t="s">
        <v>73</v>
      </c>
      <c r="D93" s="56"/>
      <c r="E93" s="56"/>
      <c r="F93" s="56"/>
      <c r="G93" s="57"/>
      <c r="H93" s="57"/>
      <c r="I93" s="57"/>
      <c r="J93" s="57">
        <f t="shared" si="45"/>
        <v>0</v>
      </c>
    </row>
    <row r="94" spans="1:10" x14ac:dyDescent="0.25">
      <c r="A94" s="88"/>
      <c r="B94" s="88"/>
      <c r="C94" s="42" t="s">
        <v>75</v>
      </c>
      <c r="D94" s="58"/>
      <c r="E94" s="58"/>
      <c r="F94" s="58"/>
      <c r="G94" s="58"/>
      <c r="H94" s="58"/>
      <c r="I94" s="58"/>
      <c r="J94" s="57">
        <f t="shared" si="45"/>
        <v>0</v>
      </c>
    </row>
    <row r="95" spans="1:10" x14ac:dyDescent="0.25">
      <c r="A95" s="87" t="s">
        <v>40</v>
      </c>
      <c r="B95" s="89" t="s">
        <v>42</v>
      </c>
      <c r="C95" s="39" t="s">
        <v>70</v>
      </c>
      <c r="D95" s="52">
        <f>D96+D97</f>
        <v>161.63</v>
      </c>
      <c r="E95" s="52">
        <f t="shared" ref="E95:I95" si="49">E96+E97</f>
        <v>260.20459</v>
      </c>
      <c r="F95" s="52">
        <f t="shared" si="49"/>
        <v>855.346</v>
      </c>
      <c r="G95" s="52">
        <f t="shared" si="49"/>
        <v>454.2</v>
      </c>
      <c r="H95" s="52">
        <f t="shared" si="49"/>
        <v>339.3</v>
      </c>
      <c r="I95" s="52">
        <f t="shared" si="49"/>
        <v>339.3</v>
      </c>
      <c r="J95" s="57">
        <f t="shared" si="45"/>
        <v>2409.9805900000001</v>
      </c>
    </row>
    <row r="96" spans="1:10" x14ac:dyDescent="0.25">
      <c r="A96" s="87"/>
      <c r="B96" s="89"/>
      <c r="C96" s="40" t="s">
        <v>71</v>
      </c>
      <c r="D96" s="37">
        <v>161.63</v>
      </c>
      <c r="E96" s="58">
        <f>'2016'!F195</f>
        <v>260.20459</v>
      </c>
      <c r="F96" s="58">
        <f>'2016'!G195</f>
        <v>855.346</v>
      </c>
      <c r="G96" s="58">
        <f>'2016'!H195</f>
        <v>454.2</v>
      </c>
      <c r="H96" s="58">
        <v>339.3</v>
      </c>
      <c r="I96" s="58">
        <v>339.3</v>
      </c>
      <c r="J96" s="57">
        <f t="shared" si="45"/>
        <v>2409.9805900000001</v>
      </c>
    </row>
    <row r="97" spans="1:10" x14ac:dyDescent="0.25">
      <c r="A97" s="87"/>
      <c r="B97" s="89"/>
      <c r="C97" s="41" t="s">
        <v>72</v>
      </c>
      <c r="D97" s="37"/>
      <c r="E97" s="37"/>
      <c r="F97" s="37"/>
      <c r="G97" s="37"/>
      <c r="H97" s="37"/>
      <c r="I97" s="37"/>
      <c r="J97" s="57">
        <f t="shared" si="45"/>
        <v>0</v>
      </c>
    </row>
    <row r="98" spans="1:10" x14ac:dyDescent="0.25">
      <c r="A98" s="88"/>
      <c r="B98" s="88"/>
      <c r="C98" s="41" t="s">
        <v>73</v>
      </c>
      <c r="D98" s="56"/>
      <c r="E98" s="56"/>
      <c r="F98" s="56"/>
      <c r="G98" s="57"/>
      <c r="H98" s="57"/>
      <c r="I98" s="57"/>
      <c r="J98" s="57">
        <f t="shared" si="45"/>
        <v>0</v>
      </c>
    </row>
    <row r="99" spans="1:10" x14ac:dyDescent="0.25">
      <c r="A99" s="88"/>
      <c r="B99" s="88"/>
      <c r="C99" s="42" t="s">
        <v>75</v>
      </c>
      <c r="D99" s="58"/>
      <c r="E99" s="58"/>
      <c r="F99" s="58"/>
      <c r="G99" s="58"/>
      <c r="H99" s="58"/>
      <c r="I99" s="58"/>
      <c r="J99" s="57">
        <f t="shared" si="45"/>
        <v>0</v>
      </c>
    </row>
    <row r="100" spans="1:10" x14ac:dyDescent="0.25">
      <c r="A100" s="87" t="s">
        <v>43</v>
      </c>
      <c r="B100" s="89" t="s">
        <v>46</v>
      </c>
      <c r="C100" s="39" t="s">
        <v>70</v>
      </c>
      <c r="D100" s="52">
        <f>D102</f>
        <v>16.399999999999999</v>
      </c>
      <c r="E100" s="52">
        <f t="shared" ref="E100:I100" si="50">E102</f>
        <v>26.123999999999999</v>
      </c>
      <c r="F100" s="52">
        <f t="shared" si="50"/>
        <v>35.448</v>
      </c>
      <c r="G100" s="52">
        <f t="shared" si="50"/>
        <v>8.9</v>
      </c>
      <c r="H100" s="52">
        <f t="shared" si="50"/>
        <v>38.5</v>
      </c>
      <c r="I100" s="52">
        <f t="shared" si="50"/>
        <v>38.5</v>
      </c>
      <c r="J100" s="57">
        <f t="shared" si="45"/>
        <v>163.87200000000001</v>
      </c>
    </row>
    <row r="101" spans="1:10" x14ac:dyDescent="0.25">
      <c r="A101" s="87"/>
      <c r="B101" s="89"/>
      <c r="C101" s="40" t="s">
        <v>71</v>
      </c>
      <c r="D101" s="37"/>
      <c r="E101" s="58"/>
      <c r="F101" s="58"/>
      <c r="G101" s="58"/>
      <c r="H101" s="58"/>
      <c r="I101" s="58"/>
      <c r="J101" s="57">
        <f t="shared" si="45"/>
        <v>0</v>
      </c>
    </row>
    <row r="102" spans="1:10" x14ac:dyDescent="0.25">
      <c r="A102" s="87"/>
      <c r="B102" s="89"/>
      <c r="C102" s="41" t="s">
        <v>72</v>
      </c>
      <c r="D102" s="37">
        <v>16.399999999999999</v>
      </c>
      <c r="E102" s="58">
        <f>'2016'!F198</f>
        <v>26.123999999999999</v>
      </c>
      <c r="F102" s="58">
        <f>'2016'!G198</f>
        <v>35.448</v>
      </c>
      <c r="G102" s="58">
        <f>'2016'!H198</f>
        <v>8.9</v>
      </c>
      <c r="H102" s="58">
        <v>38.5</v>
      </c>
      <c r="I102" s="58">
        <v>38.5</v>
      </c>
      <c r="J102" s="57">
        <f t="shared" si="45"/>
        <v>163.87200000000001</v>
      </c>
    </row>
    <row r="103" spans="1:10" x14ac:dyDescent="0.25">
      <c r="A103" s="88"/>
      <c r="B103" s="88"/>
      <c r="C103" s="41" t="s">
        <v>73</v>
      </c>
      <c r="D103" s="56"/>
      <c r="E103" s="56"/>
      <c r="F103" s="56"/>
      <c r="G103" s="57"/>
      <c r="H103" s="57"/>
      <c r="I103" s="57"/>
      <c r="J103" s="57">
        <f t="shared" si="45"/>
        <v>0</v>
      </c>
    </row>
    <row r="104" spans="1:10" x14ac:dyDescent="0.25">
      <c r="A104" s="88"/>
      <c r="B104" s="88"/>
      <c r="C104" s="42" t="s">
        <v>75</v>
      </c>
      <c r="D104" s="58"/>
      <c r="E104" s="58"/>
      <c r="F104" s="58"/>
      <c r="G104" s="58"/>
      <c r="H104" s="58"/>
      <c r="I104" s="58"/>
      <c r="J104" s="57">
        <f t="shared" si="45"/>
        <v>0</v>
      </c>
    </row>
    <row r="105" spans="1:10" x14ac:dyDescent="0.25">
      <c r="A105" s="87" t="s">
        <v>44</v>
      </c>
      <c r="B105" s="89" t="s">
        <v>47</v>
      </c>
      <c r="C105" s="39" t="s">
        <v>70</v>
      </c>
      <c r="D105" s="52">
        <f>D107</f>
        <v>825</v>
      </c>
      <c r="E105" s="52">
        <f t="shared" ref="E105:I105" si="51">E107</f>
        <v>996.97500000000002</v>
      </c>
      <c r="F105" s="52">
        <f t="shared" si="51"/>
        <v>996.97500000000002</v>
      </c>
      <c r="G105" s="52">
        <f t="shared" si="51"/>
        <v>110.8</v>
      </c>
      <c r="H105" s="52">
        <f t="shared" si="51"/>
        <v>603.29999999999995</v>
      </c>
      <c r="I105" s="52">
        <f t="shared" si="51"/>
        <v>603.29999999999995</v>
      </c>
      <c r="J105" s="57">
        <f t="shared" si="45"/>
        <v>4136.3500000000004</v>
      </c>
    </row>
    <row r="106" spans="1:10" x14ac:dyDescent="0.25">
      <c r="A106" s="87"/>
      <c r="B106" s="89"/>
      <c r="C106" s="40" t="s">
        <v>71</v>
      </c>
      <c r="D106" s="37"/>
      <c r="E106" s="37"/>
      <c r="F106" s="37"/>
      <c r="G106" s="37"/>
      <c r="H106" s="37"/>
      <c r="I106" s="37"/>
      <c r="J106" s="57">
        <f t="shared" si="45"/>
        <v>0</v>
      </c>
    </row>
    <row r="107" spans="1:10" x14ac:dyDescent="0.25">
      <c r="A107" s="87"/>
      <c r="B107" s="89"/>
      <c r="C107" s="41" t="s">
        <v>72</v>
      </c>
      <c r="D107" s="58">
        <v>825</v>
      </c>
      <c r="E107" s="58">
        <f>'2016'!F201</f>
        <v>996.97500000000002</v>
      </c>
      <c r="F107" s="58">
        <f>'2016'!G201</f>
        <v>996.97500000000002</v>
      </c>
      <c r="G107" s="58">
        <f>'2016'!H201</f>
        <v>110.8</v>
      </c>
      <c r="H107" s="58">
        <v>603.29999999999995</v>
      </c>
      <c r="I107" s="58">
        <v>603.29999999999995</v>
      </c>
      <c r="J107" s="57">
        <f t="shared" si="45"/>
        <v>4136.3500000000004</v>
      </c>
    </row>
    <row r="108" spans="1:10" x14ac:dyDescent="0.25">
      <c r="A108" s="88"/>
      <c r="B108" s="88"/>
      <c r="C108" s="41" t="s">
        <v>73</v>
      </c>
      <c r="D108" s="56"/>
      <c r="E108" s="56"/>
      <c r="F108" s="56"/>
      <c r="G108" s="57"/>
      <c r="H108" s="57"/>
      <c r="I108" s="57"/>
      <c r="J108" s="57">
        <f t="shared" si="45"/>
        <v>0</v>
      </c>
    </row>
    <row r="109" spans="1:10" x14ac:dyDescent="0.25">
      <c r="A109" s="88"/>
      <c r="B109" s="88"/>
      <c r="C109" s="42" t="s">
        <v>75</v>
      </c>
      <c r="D109" s="58"/>
      <c r="E109" s="58"/>
      <c r="F109" s="58"/>
      <c r="G109" s="58"/>
      <c r="H109" s="58"/>
      <c r="I109" s="58"/>
      <c r="J109" s="57">
        <f t="shared" si="45"/>
        <v>0</v>
      </c>
    </row>
    <row r="110" spans="1:10" x14ac:dyDescent="0.25">
      <c r="A110" s="87" t="s">
        <v>45</v>
      </c>
      <c r="B110" s="89" t="s">
        <v>37</v>
      </c>
      <c r="C110" s="39" t="s">
        <v>70</v>
      </c>
      <c r="D110" s="52">
        <f>D112</f>
        <v>4539.5249999999996</v>
      </c>
      <c r="E110" s="52">
        <f t="shared" ref="E110:I110" si="52">E112</f>
        <v>5289.402</v>
      </c>
      <c r="F110" s="52">
        <f t="shared" si="52"/>
        <v>3487.154</v>
      </c>
      <c r="G110" s="52">
        <f t="shared" si="52"/>
        <v>3182</v>
      </c>
      <c r="H110" s="52">
        <f t="shared" si="52"/>
        <v>5295</v>
      </c>
      <c r="I110" s="52">
        <f t="shared" si="52"/>
        <v>5295</v>
      </c>
      <c r="J110" s="57">
        <f t="shared" si="45"/>
        <v>27088.080999999998</v>
      </c>
    </row>
    <row r="111" spans="1:10" x14ac:dyDescent="0.25">
      <c r="A111" s="87"/>
      <c r="B111" s="89"/>
      <c r="C111" s="40" t="s">
        <v>71</v>
      </c>
      <c r="D111" s="37"/>
      <c r="E111" s="37"/>
      <c r="F111" s="37"/>
      <c r="G111" s="37"/>
      <c r="H111" s="37"/>
      <c r="I111" s="37"/>
      <c r="J111" s="57">
        <f t="shared" si="45"/>
        <v>0</v>
      </c>
    </row>
    <row r="112" spans="1:10" x14ac:dyDescent="0.25">
      <c r="A112" s="87"/>
      <c r="B112" s="89"/>
      <c r="C112" s="41" t="s">
        <v>72</v>
      </c>
      <c r="D112" s="58">
        <v>4539.5249999999996</v>
      </c>
      <c r="E112" s="58">
        <f>'2016'!F204</f>
        <v>5289.402</v>
      </c>
      <c r="F112" s="58">
        <f>'2016'!G204</f>
        <v>3487.154</v>
      </c>
      <c r="G112" s="58">
        <f>'2016'!H204</f>
        <v>3182</v>
      </c>
      <c r="H112" s="58">
        <v>5295</v>
      </c>
      <c r="I112" s="58">
        <v>5295</v>
      </c>
      <c r="J112" s="57">
        <f t="shared" si="45"/>
        <v>27088.080999999998</v>
      </c>
    </row>
    <row r="113" spans="1:10" x14ac:dyDescent="0.25">
      <c r="A113" s="88"/>
      <c r="B113" s="88"/>
      <c r="C113" s="41" t="s">
        <v>73</v>
      </c>
      <c r="D113" s="56"/>
      <c r="E113" s="56"/>
      <c r="F113" s="56"/>
      <c r="G113" s="57"/>
      <c r="H113" s="57"/>
      <c r="I113" s="57"/>
      <c r="J113" s="57">
        <f t="shared" si="45"/>
        <v>0</v>
      </c>
    </row>
    <row r="114" spans="1:10" x14ac:dyDescent="0.25">
      <c r="A114" s="88"/>
      <c r="B114" s="88"/>
      <c r="C114" s="42" t="s">
        <v>75</v>
      </c>
      <c r="D114" s="58"/>
      <c r="E114" s="58"/>
      <c r="F114" s="58"/>
      <c r="G114" s="58"/>
      <c r="H114" s="58"/>
      <c r="I114" s="58"/>
      <c r="J114" s="57">
        <f t="shared" si="45"/>
        <v>0</v>
      </c>
    </row>
    <row r="115" spans="1:10" x14ac:dyDescent="0.25">
      <c r="A115" s="79" t="s">
        <v>62</v>
      </c>
      <c r="B115" s="83" t="s">
        <v>23</v>
      </c>
      <c r="C115" s="39" t="s">
        <v>70</v>
      </c>
      <c r="D115" s="52">
        <f>D117</f>
        <v>272.10000000000002</v>
      </c>
      <c r="E115" s="52">
        <f t="shared" ref="E115:I115" si="53">E117</f>
        <v>416</v>
      </c>
      <c r="F115" s="52">
        <f t="shared" si="53"/>
        <v>172.124</v>
      </c>
      <c r="G115" s="52">
        <f t="shared" si="53"/>
        <v>85</v>
      </c>
      <c r="H115" s="52">
        <f t="shared" si="53"/>
        <v>516</v>
      </c>
      <c r="I115" s="52">
        <f t="shared" si="53"/>
        <v>516</v>
      </c>
      <c r="J115" s="57">
        <f t="shared" si="45"/>
        <v>1977.2240000000002</v>
      </c>
    </row>
    <row r="116" spans="1:10" x14ac:dyDescent="0.25">
      <c r="A116" s="80"/>
      <c r="B116" s="84"/>
      <c r="C116" s="40" t="s">
        <v>71</v>
      </c>
      <c r="D116" s="37"/>
      <c r="E116" s="37"/>
      <c r="F116" s="37"/>
      <c r="G116" s="37"/>
      <c r="H116" s="37"/>
      <c r="I116" s="37"/>
      <c r="J116" s="57">
        <f t="shared" si="45"/>
        <v>0</v>
      </c>
    </row>
    <row r="117" spans="1:10" x14ac:dyDescent="0.25">
      <c r="A117" s="80"/>
      <c r="B117" s="84"/>
      <c r="C117" s="41" t="s">
        <v>72</v>
      </c>
      <c r="D117" s="37">
        <v>272.10000000000002</v>
      </c>
      <c r="E117" s="37">
        <v>416</v>
      </c>
      <c r="F117" s="37">
        <f>'2016'!G207</f>
        <v>172.124</v>
      </c>
      <c r="G117" s="37">
        <f>'2016'!H207</f>
        <v>85</v>
      </c>
      <c r="H117" s="37">
        <v>516</v>
      </c>
      <c r="I117" s="37">
        <v>516</v>
      </c>
      <c r="J117" s="57">
        <f t="shared" si="45"/>
        <v>1977.2240000000002</v>
      </c>
    </row>
    <row r="118" spans="1:10" x14ac:dyDescent="0.25">
      <c r="A118" s="81"/>
      <c r="B118" s="85"/>
      <c r="C118" s="41" t="s">
        <v>73</v>
      </c>
      <c r="D118" s="8"/>
      <c r="E118" s="8"/>
      <c r="F118" s="8"/>
      <c r="G118" s="27"/>
      <c r="H118" s="28"/>
      <c r="I118" s="28"/>
      <c r="J118" s="57">
        <f t="shared" si="45"/>
        <v>0</v>
      </c>
    </row>
    <row r="119" spans="1:10" x14ac:dyDescent="0.25">
      <c r="A119" s="82"/>
      <c r="B119" s="86"/>
      <c r="C119" s="42" t="s">
        <v>75</v>
      </c>
      <c r="D119" s="24"/>
      <c r="E119" s="8"/>
      <c r="F119" s="8"/>
      <c r="G119" s="8"/>
      <c r="H119" s="8"/>
      <c r="I119" s="8"/>
      <c r="J119" s="57">
        <f t="shared" si="45"/>
        <v>0</v>
      </c>
    </row>
    <row r="120" spans="1:10" ht="15.75" x14ac:dyDescent="0.25">
      <c r="A120" s="3"/>
      <c r="D120" s="3"/>
    </row>
    <row r="121" spans="1:10" ht="15.75" x14ac:dyDescent="0.25">
      <c r="A121" s="61" t="s">
        <v>85</v>
      </c>
      <c r="B121" s="61"/>
      <c r="C121" s="61"/>
      <c r="D121" s="61"/>
      <c r="E121" s="62"/>
      <c r="F121" s="62" t="s">
        <v>91</v>
      </c>
      <c r="G121" s="22"/>
      <c r="H121" s="22"/>
      <c r="I121" s="22"/>
    </row>
    <row r="122" spans="1:10" ht="15.75" x14ac:dyDescent="0.25">
      <c r="A122" s="3"/>
      <c r="D122" s="22"/>
      <c r="E122" s="22"/>
      <c r="F122" s="22"/>
      <c r="G122" s="22"/>
      <c r="H122" s="22"/>
      <c r="I122" s="22"/>
    </row>
    <row r="123" spans="1:10" ht="15.75" x14ac:dyDescent="0.25">
      <c r="A123" s="3"/>
      <c r="D123" s="22"/>
      <c r="E123" s="22"/>
    </row>
    <row r="124" spans="1:10" x14ac:dyDescent="0.25">
      <c r="D124" s="22"/>
    </row>
    <row r="125" spans="1:10" x14ac:dyDescent="0.25">
      <c r="D125" s="22"/>
    </row>
  </sheetData>
  <mergeCells count="50">
    <mergeCell ref="E1:F1"/>
    <mergeCell ref="A5:I5"/>
    <mergeCell ref="A7:A8"/>
    <mergeCell ref="B7:B8"/>
    <mergeCell ref="C7:C8"/>
    <mergeCell ref="D7:I7"/>
    <mergeCell ref="A10:A14"/>
    <mergeCell ref="B10:B14"/>
    <mergeCell ref="A15:A19"/>
    <mergeCell ref="B15:B19"/>
    <mergeCell ref="A20:A24"/>
    <mergeCell ref="B20:B24"/>
    <mergeCell ref="A25:A29"/>
    <mergeCell ref="B25:B29"/>
    <mergeCell ref="A30:A34"/>
    <mergeCell ref="B30:B34"/>
    <mergeCell ref="A35:A39"/>
    <mergeCell ref="B35:B39"/>
    <mergeCell ref="A40:A44"/>
    <mergeCell ref="B40:B44"/>
    <mergeCell ref="A45:A47"/>
    <mergeCell ref="B45:B47"/>
    <mergeCell ref="A50:A54"/>
    <mergeCell ref="B50:B54"/>
    <mergeCell ref="A55:A59"/>
    <mergeCell ref="B55:B59"/>
    <mergeCell ref="A60:A64"/>
    <mergeCell ref="B60:B64"/>
    <mergeCell ref="A65:A69"/>
    <mergeCell ref="B65:B69"/>
    <mergeCell ref="A70:A74"/>
    <mergeCell ref="B70:B74"/>
    <mergeCell ref="A75:A79"/>
    <mergeCell ref="B75:B79"/>
    <mergeCell ref="A80:A84"/>
    <mergeCell ref="B80:B84"/>
    <mergeCell ref="A85:A89"/>
    <mergeCell ref="B85:B89"/>
    <mergeCell ref="A90:A94"/>
    <mergeCell ref="B90:B94"/>
    <mergeCell ref="A95:A99"/>
    <mergeCell ref="B95:B99"/>
    <mergeCell ref="A115:A119"/>
    <mergeCell ref="B115:B119"/>
    <mergeCell ref="A100:A104"/>
    <mergeCell ref="B100:B104"/>
    <mergeCell ref="A105:A109"/>
    <mergeCell ref="B105:B109"/>
    <mergeCell ref="A110:A114"/>
    <mergeCell ref="B110:B114"/>
  </mergeCells>
  <pageMargins left="0.15748031496062992" right="0.15748031496062992" top="0.15748031496062992" bottom="0.51181102362204722" header="0.15748031496062992" footer="0.15748031496062992"/>
  <pageSetup paperSize="9" scale="9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3"/>
  <sheetViews>
    <sheetView topLeftCell="B6" workbookViewId="0">
      <selection activeCell="K10" sqref="K10"/>
    </sheetView>
  </sheetViews>
  <sheetFormatPr defaultRowHeight="15" x14ac:dyDescent="0.25"/>
  <cols>
    <col min="1" max="1" width="21" customWidth="1"/>
    <col min="2" max="2" width="30.85546875" customWidth="1"/>
    <col min="3" max="3" width="22.42578125" customWidth="1"/>
    <col min="4" max="4" width="29.140625" customWidth="1"/>
    <col min="5" max="5" width="15.5703125" customWidth="1"/>
    <col min="6" max="6" width="16.42578125" customWidth="1"/>
    <col min="7" max="7" width="14.7109375" customWidth="1"/>
    <col min="8" max="8" width="13.85546875" customWidth="1"/>
    <col min="9" max="9" width="11.7109375" customWidth="1"/>
    <col min="10" max="10" width="12.140625" customWidth="1"/>
    <col min="11" max="11" width="15.140625" customWidth="1"/>
  </cols>
  <sheetData>
    <row r="1" spans="1:11" ht="15.75" x14ac:dyDescent="0.25">
      <c r="E1" s="2"/>
      <c r="F1" s="102" t="s">
        <v>87</v>
      </c>
      <c r="G1" s="102"/>
      <c r="H1" s="64"/>
      <c r="I1" s="64"/>
      <c r="J1" s="64"/>
    </row>
    <row r="2" spans="1:11" ht="15.75" x14ac:dyDescent="0.25">
      <c r="E2" s="65" t="s">
        <v>89</v>
      </c>
      <c r="F2" s="65"/>
      <c r="G2" s="65"/>
      <c r="H2" s="64"/>
      <c r="I2" s="64"/>
      <c r="J2" s="64"/>
    </row>
    <row r="3" spans="1:11" ht="15.75" x14ac:dyDescent="0.25">
      <c r="E3" s="66"/>
      <c r="F3" s="67" t="s">
        <v>96</v>
      </c>
      <c r="G3" s="66"/>
      <c r="H3" s="64"/>
      <c r="I3" s="64"/>
      <c r="J3" s="64"/>
    </row>
    <row r="4" spans="1:11" ht="15.75" x14ac:dyDescent="0.25">
      <c r="A4" s="110" t="s">
        <v>0</v>
      </c>
      <c r="B4" s="110"/>
      <c r="C4" s="110"/>
      <c r="D4" s="110"/>
      <c r="E4" s="110"/>
      <c r="F4" s="110"/>
      <c r="G4" s="110"/>
    </row>
    <row r="5" spans="1:11" x14ac:dyDescent="0.25">
      <c r="A5" s="4"/>
      <c r="B5" s="4"/>
      <c r="C5" s="4"/>
      <c r="D5" s="4"/>
      <c r="E5" s="25"/>
      <c r="F5" s="25"/>
      <c r="G5" s="25"/>
    </row>
    <row r="6" spans="1:11" x14ac:dyDescent="0.25">
      <c r="A6" s="105" t="s">
        <v>1</v>
      </c>
      <c r="B6" s="106" t="s">
        <v>2</v>
      </c>
      <c r="C6" s="107" t="s">
        <v>3</v>
      </c>
      <c r="D6" s="111" t="s">
        <v>19</v>
      </c>
      <c r="E6" s="108" t="s">
        <v>4</v>
      </c>
      <c r="F6" s="109"/>
      <c r="G6" s="109"/>
      <c r="H6" s="109"/>
      <c r="I6" s="109"/>
      <c r="J6" s="109"/>
    </row>
    <row r="7" spans="1:11" ht="126.75" customHeight="1" x14ac:dyDescent="0.25">
      <c r="A7" s="105"/>
      <c r="B7" s="106"/>
      <c r="C7" s="107"/>
      <c r="D7" s="112"/>
      <c r="E7" s="44" t="s">
        <v>5</v>
      </c>
      <c r="F7" s="44" t="s">
        <v>6</v>
      </c>
      <c r="G7" s="26" t="s">
        <v>7</v>
      </c>
      <c r="H7" s="26" t="s">
        <v>58</v>
      </c>
      <c r="I7" s="26" t="s">
        <v>59</v>
      </c>
      <c r="J7" s="26" t="s">
        <v>60</v>
      </c>
    </row>
    <row r="8" spans="1:11" x14ac:dyDescent="0.25">
      <c r="A8" s="46">
        <v>1</v>
      </c>
      <c r="B8" s="46">
        <v>2</v>
      </c>
      <c r="C8" s="5">
        <v>3</v>
      </c>
      <c r="D8" s="46">
        <v>4</v>
      </c>
      <c r="E8" s="5">
        <v>5</v>
      </c>
      <c r="F8" s="46">
        <v>6</v>
      </c>
      <c r="G8" s="5">
        <v>7</v>
      </c>
      <c r="H8" s="46">
        <v>8</v>
      </c>
      <c r="I8" s="46">
        <v>9</v>
      </c>
      <c r="J8" s="5">
        <v>10</v>
      </c>
    </row>
    <row r="9" spans="1:11" x14ac:dyDescent="0.25">
      <c r="A9" s="98" t="s">
        <v>8</v>
      </c>
      <c r="B9" s="79" t="s">
        <v>78</v>
      </c>
      <c r="C9" s="45" t="s">
        <v>9</v>
      </c>
      <c r="D9" s="45"/>
      <c r="E9" s="48">
        <f>E11</f>
        <v>196412.717</v>
      </c>
      <c r="F9" s="48">
        <f t="shared" ref="F9:J9" si="0">F11</f>
        <v>200312.04110999999</v>
      </c>
      <c r="G9" s="48">
        <f t="shared" si="0"/>
        <v>187293.61461000002</v>
      </c>
      <c r="H9" s="48">
        <f t="shared" si="0"/>
        <v>176189</v>
      </c>
      <c r="I9" s="48">
        <f t="shared" si="0"/>
        <v>174113.071</v>
      </c>
      <c r="J9" s="48">
        <f t="shared" si="0"/>
        <v>174113.071</v>
      </c>
      <c r="K9" s="71">
        <f>E9+F9+G9+H9+I9+J9</f>
        <v>1108433.5147199999</v>
      </c>
    </row>
    <row r="10" spans="1:11" x14ac:dyDescent="0.25">
      <c r="A10" s="98"/>
      <c r="B10" s="80"/>
      <c r="C10" s="6" t="s">
        <v>10</v>
      </c>
      <c r="D10" s="21"/>
      <c r="E10" s="49"/>
      <c r="F10" s="49"/>
      <c r="G10" s="49"/>
      <c r="H10" s="49"/>
      <c r="I10" s="49"/>
      <c r="J10" s="49"/>
    </row>
    <row r="11" spans="1:11" ht="57" customHeight="1" x14ac:dyDescent="0.25">
      <c r="A11" s="98"/>
      <c r="B11" s="113"/>
      <c r="C11" s="6" t="s">
        <v>11</v>
      </c>
      <c r="D11" s="21"/>
      <c r="E11" s="72">
        <f>E12+E85+E104+E118</f>
        <v>196412.717</v>
      </c>
      <c r="F11" s="72">
        <f>F14+F85+F104+F118</f>
        <v>200312.04110999999</v>
      </c>
      <c r="G11" s="72">
        <f>G12+G85+G104+G118</f>
        <v>187293.61461000002</v>
      </c>
      <c r="H11" s="72">
        <f>H12+H85+H104+H118</f>
        <v>176189</v>
      </c>
      <c r="I11" s="72">
        <f>I14+I85+I104+I118</f>
        <v>174113.071</v>
      </c>
      <c r="J11" s="72">
        <f>J14+J85+J104+J118</f>
        <v>174113.071</v>
      </c>
      <c r="K11" s="22"/>
    </row>
    <row r="12" spans="1:11" x14ac:dyDescent="0.25">
      <c r="A12" s="98" t="s">
        <v>12</v>
      </c>
      <c r="B12" s="98" t="s">
        <v>49</v>
      </c>
      <c r="C12" s="18" t="s">
        <v>9</v>
      </c>
      <c r="D12" s="18"/>
      <c r="E12" s="50">
        <f>E15+E22+E35+E39+E58+E72</f>
        <v>167158.351</v>
      </c>
      <c r="F12" s="50">
        <f t="shared" ref="F12:J12" si="1">F14</f>
        <v>167172.42097000001</v>
      </c>
      <c r="G12" s="50">
        <f t="shared" si="1"/>
        <v>153436.62061000001</v>
      </c>
      <c r="H12" s="50">
        <f t="shared" si="1"/>
        <v>143175.1</v>
      </c>
      <c r="I12" s="50">
        <f t="shared" si="1"/>
        <v>142393.97099999999</v>
      </c>
      <c r="J12" s="50">
        <f t="shared" si="1"/>
        <v>142393.97099999999</v>
      </c>
    </row>
    <row r="13" spans="1:11" x14ac:dyDescent="0.25">
      <c r="A13" s="98"/>
      <c r="B13" s="98"/>
      <c r="C13" s="6" t="s">
        <v>10</v>
      </c>
      <c r="D13" s="21"/>
      <c r="E13" s="51"/>
      <c r="F13" s="51"/>
      <c r="G13" s="51"/>
      <c r="H13" s="51"/>
      <c r="I13" s="51"/>
      <c r="J13" s="51"/>
    </row>
    <row r="14" spans="1:11" ht="80.25" customHeight="1" x14ac:dyDescent="0.25">
      <c r="A14" s="98"/>
      <c r="B14" s="98"/>
      <c r="C14" s="6" t="s">
        <v>11</v>
      </c>
      <c r="D14" s="21"/>
      <c r="E14" s="51">
        <f t="shared" ref="E14:J14" si="2">E15+E22+E35+E39+E58+E72</f>
        <v>167158.351</v>
      </c>
      <c r="F14" s="51">
        <f t="shared" si="2"/>
        <v>167172.42097000001</v>
      </c>
      <c r="G14" s="51">
        <f t="shared" si="2"/>
        <v>153436.62061000001</v>
      </c>
      <c r="H14" s="51">
        <f t="shared" si="2"/>
        <v>143175.1</v>
      </c>
      <c r="I14" s="51">
        <f t="shared" si="2"/>
        <v>142393.97099999999</v>
      </c>
      <c r="J14" s="51">
        <f t="shared" si="2"/>
        <v>142393.97099999999</v>
      </c>
      <c r="K14" s="22"/>
    </row>
    <row r="15" spans="1:11" x14ac:dyDescent="0.25">
      <c r="A15" s="79" t="s">
        <v>13</v>
      </c>
      <c r="B15" s="96" t="s">
        <v>20</v>
      </c>
      <c r="C15" s="14" t="s">
        <v>9</v>
      </c>
      <c r="D15" s="17">
        <v>9.2407010117829504E+16</v>
      </c>
      <c r="E15" s="52">
        <f>E17+E18+E19+E20+E21</f>
        <v>9800.7039999999997</v>
      </c>
      <c r="F15" s="52">
        <f t="shared" ref="F15:J15" si="3">F17+F18+F19+F20+F21</f>
        <v>9979.7980000000007</v>
      </c>
      <c r="G15" s="52">
        <f t="shared" si="3"/>
        <v>10829.699999999999</v>
      </c>
      <c r="H15" s="52">
        <f t="shared" si="3"/>
        <v>12850.4</v>
      </c>
      <c r="I15" s="52">
        <f t="shared" si="3"/>
        <v>12683</v>
      </c>
      <c r="J15" s="52">
        <f t="shared" si="3"/>
        <v>12683</v>
      </c>
      <c r="K15" s="22"/>
    </row>
    <row r="16" spans="1:11" x14ac:dyDescent="0.25">
      <c r="A16" s="80"/>
      <c r="B16" s="97"/>
      <c r="C16" s="7" t="s">
        <v>10</v>
      </c>
      <c r="D16" s="7"/>
      <c r="E16" s="37"/>
      <c r="F16" s="37"/>
      <c r="G16" s="37"/>
      <c r="H16" s="37"/>
      <c r="I16" s="37"/>
      <c r="J16" s="37"/>
    </row>
    <row r="17" spans="1:11" ht="27" customHeight="1" x14ac:dyDescent="0.25">
      <c r="A17" s="80"/>
      <c r="B17" s="97"/>
      <c r="C17" s="118" t="s">
        <v>11</v>
      </c>
      <c r="D17" s="13" t="s">
        <v>98</v>
      </c>
      <c r="E17" s="37">
        <v>7543.72</v>
      </c>
      <c r="F17" s="37">
        <v>7346.866</v>
      </c>
      <c r="G17" s="37">
        <v>7675.8919999999998</v>
      </c>
      <c r="H17" s="37">
        <v>9777</v>
      </c>
      <c r="I17" s="37">
        <v>9741</v>
      </c>
      <c r="J17" s="37">
        <v>9741</v>
      </c>
    </row>
    <row r="18" spans="1:11" ht="21.75" customHeight="1" x14ac:dyDescent="0.25">
      <c r="A18" s="80"/>
      <c r="B18" s="97"/>
      <c r="C18" s="119"/>
      <c r="D18" s="13" t="s">
        <v>103</v>
      </c>
      <c r="E18" s="37">
        <v>2256.9839999999999</v>
      </c>
      <c r="F18" s="37">
        <v>2237.1590000000001</v>
      </c>
      <c r="G18" s="37">
        <v>2350.98</v>
      </c>
      <c r="H18" s="37">
        <v>2944.9</v>
      </c>
      <c r="I18" s="37">
        <v>2942</v>
      </c>
      <c r="J18" s="37">
        <v>2942</v>
      </c>
    </row>
    <row r="19" spans="1:11" ht="30.75" customHeight="1" x14ac:dyDescent="0.25">
      <c r="A19" s="80"/>
      <c r="B19" s="97"/>
      <c r="C19" s="119"/>
      <c r="D19" s="13" t="s">
        <v>99</v>
      </c>
      <c r="E19" s="37"/>
      <c r="F19" s="37">
        <v>14.4</v>
      </c>
      <c r="G19" s="37"/>
      <c r="H19" s="37"/>
      <c r="I19" s="37"/>
      <c r="J19" s="37"/>
    </row>
    <row r="20" spans="1:11" ht="30.75" customHeight="1" x14ac:dyDescent="0.25">
      <c r="A20" s="80"/>
      <c r="B20" s="97"/>
      <c r="C20" s="119"/>
      <c r="D20" s="13" t="s">
        <v>100</v>
      </c>
      <c r="E20" s="37"/>
      <c r="F20" s="37">
        <v>374.87</v>
      </c>
      <c r="G20" s="37">
        <v>485.399</v>
      </c>
      <c r="H20" s="37">
        <v>128.5</v>
      </c>
      <c r="I20" s="37"/>
      <c r="J20" s="37"/>
    </row>
    <row r="21" spans="1:11" ht="30.75" customHeight="1" x14ac:dyDescent="0.25">
      <c r="A21" s="80"/>
      <c r="B21" s="97"/>
      <c r="C21" s="119"/>
      <c r="D21" s="13" t="s">
        <v>101</v>
      </c>
      <c r="E21" s="37"/>
      <c r="F21" s="37">
        <v>6.5030000000000001</v>
      </c>
      <c r="G21" s="37">
        <f>313.529+3.9</f>
        <v>317.42899999999997</v>
      </c>
      <c r="H21" s="37"/>
      <c r="I21" s="37"/>
      <c r="J21" s="37"/>
    </row>
    <row r="22" spans="1:11" x14ac:dyDescent="0.25">
      <c r="A22" s="79" t="s">
        <v>90</v>
      </c>
      <c r="B22" s="79" t="s">
        <v>21</v>
      </c>
      <c r="C22" s="14" t="s">
        <v>9</v>
      </c>
      <c r="D22" s="77"/>
      <c r="E22" s="52">
        <f>E23+E24</f>
        <v>111426.6</v>
      </c>
      <c r="F22" s="52">
        <f>F23+F24</f>
        <v>104331.79938000001</v>
      </c>
      <c r="G22" s="52">
        <f>G23+G24</f>
        <v>94617.5</v>
      </c>
      <c r="H22" s="52">
        <f>H23+H24</f>
        <v>93719.700000000012</v>
      </c>
      <c r="I22" s="52">
        <f t="shared" ref="I22:J22" si="4">I23+I24</f>
        <v>107605.571</v>
      </c>
      <c r="J22" s="52">
        <f t="shared" si="4"/>
        <v>107605.571</v>
      </c>
      <c r="K22" s="68"/>
    </row>
    <row r="23" spans="1:11" x14ac:dyDescent="0.25">
      <c r="A23" s="80"/>
      <c r="B23" s="80"/>
      <c r="C23" s="23" t="s">
        <v>10</v>
      </c>
      <c r="D23" s="13" t="s">
        <v>64</v>
      </c>
      <c r="E23" s="38">
        <v>23718.03</v>
      </c>
      <c r="F23" s="38">
        <v>21264.031999999999</v>
      </c>
      <c r="G23" s="38">
        <v>18216.752</v>
      </c>
      <c r="H23" s="38">
        <v>17086.8</v>
      </c>
      <c r="I23" s="38">
        <v>15530</v>
      </c>
      <c r="J23" s="38">
        <v>15530</v>
      </c>
    </row>
    <row r="24" spans="1:11" x14ac:dyDescent="0.25">
      <c r="A24" s="80"/>
      <c r="B24" s="80"/>
      <c r="C24" s="120"/>
      <c r="D24" s="78"/>
      <c r="E24" s="38">
        <f>E25+E26+E27+E29+E28+E30+E31+E32+E33+E34</f>
        <v>87708.57</v>
      </c>
      <c r="F24" s="38">
        <f>F25+F26+F27+F28+F30+F31+F32+F33+F34</f>
        <v>83067.767380000005</v>
      </c>
      <c r="G24" s="38">
        <f>G25+G26+G28+G30+G31+G32+G33+G34</f>
        <v>76400.747999999992</v>
      </c>
      <c r="H24" s="38">
        <f>H25+H26+H27+H28+H31+H33+H34+H32+H30</f>
        <v>76632.900000000009</v>
      </c>
      <c r="I24" s="38">
        <f t="shared" ref="I24:J24" si="5">I25+I26+I27+I28+I31+I33+I34+I32+I30</f>
        <v>92075.570999999996</v>
      </c>
      <c r="J24" s="38">
        <f t="shared" si="5"/>
        <v>92075.570999999996</v>
      </c>
      <c r="K24" s="68"/>
    </row>
    <row r="25" spans="1:11" ht="25.5" customHeight="1" x14ac:dyDescent="0.25">
      <c r="A25" s="80"/>
      <c r="B25" s="80"/>
      <c r="C25" s="120"/>
      <c r="D25" s="13" t="s">
        <v>102</v>
      </c>
      <c r="E25" s="37">
        <v>63104.428999999996</v>
      </c>
      <c r="F25" s="37">
        <f>59885.61981+728.13334</f>
        <v>60613.753149999997</v>
      </c>
      <c r="G25" s="38">
        <v>56687.436000000002</v>
      </c>
      <c r="H25" s="38">
        <v>58269.3</v>
      </c>
      <c r="I25" s="38">
        <v>69063</v>
      </c>
      <c r="J25" s="38">
        <v>69063</v>
      </c>
    </row>
    <row r="26" spans="1:11" ht="15.75" customHeight="1" x14ac:dyDescent="0.25">
      <c r="A26" s="80"/>
      <c r="B26" s="80"/>
      <c r="C26" s="120"/>
      <c r="D26" s="13" t="s">
        <v>104</v>
      </c>
      <c r="E26" s="37">
        <v>18981.810000000001</v>
      </c>
      <c r="F26" s="37">
        <f>18030.26864+216.36372</f>
        <v>18246.63236</v>
      </c>
      <c r="G26" s="38">
        <v>16971.383999999998</v>
      </c>
      <c r="H26" s="38">
        <v>17597.3</v>
      </c>
      <c r="I26" s="38">
        <v>20857.5</v>
      </c>
      <c r="J26" s="38">
        <v>20857.5</v>
      </c>
    </row>
    <row r="27" spans="1:11" ht="17.25" customHeight="1" x14ac:dyDescent="0.25">
      <c r="A27" s="80"/>
      <c r="B27" s="80"/>
      <c r="C27" s="120"/>
      <c r="D27" s="13" t="s">
        <v>105</v>
      </c>
      <c r="E27" s="37">
        <v>6.7</v>
      </c>
      <c r="F27" s="37">
        <v>1.3</v>
      </c>
      <c r="G27" s="38"/>
      <c r="H27" s="38"/>
      <c r="I27" s="38">
        <v>78</v>
      </c>
      <c r="J27" s="38">
        <v>78</v>
      </c>
    </row>
    <row r="28" spans="1:11" ht="18" customHeight="1" x14ac:dyDescent="0.25">
      <c r="A28" s="80"/>
      <c r="B28" s="80"/>
      <c r="C28" s="120"/>
      <c r="D28" s="13" t="s">
        <v>107</v>
      </c>
      <c r="E28" s="37">
        <v>1603.971</v>
      </c>
      <c r="F28" s="37">
        <v>422.39555999999999</v>
      </c>
      <c r="G28" s="75">
        <v>421.59</v>
      </c>
      <c r="H28" s="38">
        <v>411.79599999999999</v>
      </c>
      <c r="I28" s="38">
        <v>500</v>
      </c>
      <c r="J28" s="38">
        <v>500</v>
      </c>
    </row>
    <row r="29" spans="1:11" ht="18" customHeight="1" x14ac:dyDescent="0.25">
      <c r="A29" s="80"/>
      <c r="B29" s="80"/>
      <c r="C29" s="120"/>
      <c r="D29" s="13" t="s">
        <v>106</v>
      </c>
      <c r="E29" s="37">
        <v>42.965000000000003</v>
      </c>
      <c r="F29" s="37"/>
      <c r="G29" s="38"/>
      <c r="H29" s="38"/>
      <c r="I29" s="38"/>
      <c r="J29" s="38"/>
    </row>
    <row r="30" spans="1:11" ht="18" customHeight="1" x14ac:dyDescent="0.25">
      <c r="A30" s="80"/>
      <c r="B30" s="80"/>
      <c r="C30" s="120"/>
      <c r="D30" s="13" t="s">
        <v>108</v>
      </c>
      <c r="E30" s="37">
        <v>33.179000000000002</v>
      </c>
      <c r="F30" s="37">
        <f>92.08+10.50023</f>
        <v>102.58023</v>
      </c>
      <c r="G30" s="38">
        <v>147.91800000000001</v>
      </c>
      <c r="H30" s="38"/>
      <c r="I30" s="38">
        <v>40</v>
      </c>
      <c r="J30" s="38">
        <v>40</v>
      </c>
    </row>
    <row r="31" spans="1:11" ht="27" customHeight="1" x14ac:dyDescent="0.25">
      <c r="A31" s="80"/>
      <c r="B31" s="80"/>
      <c r="C31" s="120"/>
      <c r="D31" s="13" t="s">
        <v>109</v>
      </c>
      <c r="E31" s="37">
        <f>493.305+149.879+77.747+4.553</f>
        <v>725.48399999999992</v>
      </c>
      <c r="F31" s="37">
        <f>47.27229+431.6+203.272+44.56+38.25+12</f>
        <v>776.9542899999999</v>
      </c>
      <c r="G31" s="38">
        <v>292.32799999999997</v>
      </c>
      <c r="H31" s="38">
        <v>48.933</v>
      </c>
      <c r="I31" s="38">
        <v>801.5</v>
      </c>
      <c r="J31" s="38">
        <v>801.5</v>
      </c>
    </row>
    <row r="32" spans="1:11" ht="20.25" customHeight="1" x14ac:dyDescent="0.25">
      <c r="A32" s="80"/>
      <c r="B32" s="80"/>
      <c r="C32" s="120"/>
      <c r="D32" s="13" t="s">
        <v>110</v>
      </c>
      <c r="E32" s="37">
        <f>31.77+130</f>
        <v>161.77000000000001</v>
      </c>
      <c r="F32" s="37">
        <v>15</v>
      </c>
      <c r="G32" s="38">
        <v>0.75</v>
      </c>
      <c r="H32" s="38"/>
      <c r="I32" s="38">
        <v>30</v>
      </c>
      <c r="J32" s="38">
        <v>30</v>
      </c>
    </row>
    <row r="33" spans="1:10" ht="19.5" customHeight="1" x14ac:dyDescent="0.25">
      <c r="A33" s="80"/>
      <c r="B33" s="80"/>
      <c r="C33" s="120"/>
      <c r="D33" s="13" t="s">
        <v>111</v>
      </c>
      <c r="E33" s="37">
        <f>1798.214+390.209+260.104+26.08+21.316+216.542</f>
        <v>2712.4649999999992</v>
      </c>
      <c r="F33" s="37">
        <f>1741.59987+667.88342+27.64524</f>
        <v>2437.12853</v>
      </c>
      <c r="G33" s="38">
        <v>1460.896</v>
      </c>
      <c r="H33" s="38">
        <v>305.57100000000003</v>
      </c>
      <c r="I33" s="38">
        <v>305.57100000000003</v>
      </c>
      <c r="J33" s="38">
        <v>305.57100000000003</v>
      </c>
    </row>
    <row r="34" spans="1:10" ht="20.25" customHeight="1" x14ac:dyDescent="0.25">
      <c r="A34" s="80"/>
      <c r="B34" s="80"/>
      <c r="C34" s="121"/>
      <c r="D34" s="13" t="s">
        <v>112</v>
      </c>
      <c r="E34" s="37">
        <f>32.666+215.486+1.04+68.349+12.276+5.98</f>
        <v>335.79700000000003</v>
      </c>
      <c r="F34" s="37">
        <f>104.38526+167.611+7.305+118.507+54.215</f>
        <v>452.02326000000005</v>
      </c>
      <c r="G34" s="38">
        <v>418.44600000000003</v>
      </c>
      <c r="H34" s="38"/>
      <c r="I34" s="38">
        <v>400</v>
      </c>
      <c r="J34" s="38">
        <v>400</v>
      </c>
    </row>
    <row r="35" spans="1:10" ht="24.75" customHeight="1" x14ac:dyDescent="0.25">
      <c r="A35" s="98" t="s">
        <v>77</v>
      </c>
      <c r="B35" s="98" t="s">
        <v>22</v>
      </c>
      <c r="C35" s="6" t="s">
        <v>9</v>
      </c>
      <c r="D35" s="14"/>
      <c r="E35" s="52">
        <f>E37+E38</f>
        <v>946.68</v>
      </c>
      <c r="F35" s="52">
        <f t="shared" ref="F35:J35" si="6">F37+F38</f>
        <v>944.56</v>
      </c>
      <c r="G35" s="52">
        <f t="shared" si="6"/>
        <v>938.83799999999997</v>
      </c>
      <c r="H35" s="52">
        <f t="shared" si="6"/>
        <v>410</v>
      </c>
      <c r="I35" s="52">
        <f t="shared" si="6"/>
        <v>30</v>
      </c>
      <c r="J35" s="52">
        <f t="shared" si="6"/>
        <v>30</v>
      </c>
    </row>
    <row r="36" spans="1:10" ht="22.5" customHeight="1" x14ac:dyDescent="0.25">
      <c r="A36" s="98"/>
      <c r="B36" s="98"/>
      <c r="C36" s="6" t="s">
        <v>10</v>
      </c>
      <c r="D36" s="6"/>
      <c r="E36" s="37"/>
      <c r="F36" s="37"/>
      <c r="G36" s="37"/>
      <c r="H36" s="38"/>
      <c r="I36" s="38"/>
      <c r="J36" s="38"/>
    </row>
    <row r="37" spans="1:10" ht="22.5" customHeight="1" x14ac:dyDescent="0.25">
      <c r="A37" s="98"/>
      <c r="B37" s="98"/>
      <c r="C37" s="6"/>
      <c r="D37" s="13" t="s">
        <v>113</v>
      </c>
      <c r="E37" s="37">
        <v>469.9</v>
      </c>
      <c r="F37" s="37">
        <v>472.28</v>
      </c>
      <c r="G37" s="37">
        <f>138.159+331.53</f>
        <v>469.68899999999996</v>
      </c>
      <c r="H37" s="37"/>
      <c r="I37" s="37"/>
      <c r="J37" s="37"/>
    </row>
    <row r="38" spans="1:10" ht="40.5" customHeight="1" x14ac:dyDescent="0.25">
      <c r="A38" s="98"/>
      <c r="B38" s="98"/>
      <c r="C38" s="6" t="s">
        <v>11</v>
      </c>
      <c r="D38" s="13" t="s">
        <v>139</v>
      </c>
      <c r="E38" s="37">
        <v>476.78</v>
      </c>
      <c r="F38" s="37">
        <v>472.28</v>
      </c>
      <c r="G38" s="37">
        <f>330.99+138.159</f>
        <v>469.149</v>
      </c>
      <c r="H38" s="38">
        <v>410</v>
      </c>
      <c r="I38" s="38">
        <v>30</v>
      </c>
      <c r="J38" s="38">
        <v>30</v>
      </c>
    </row>
    <row r="39" spans="1:10" ht="23.25" customHeight="1" x14ac:dyDescent="0.25">
      <c r="A39" s="81" t="s">
        <v>24</v>
      </c>
      <c r="B39" s="79" t="s">
        <v>53</v>
      </c>
      <c r="C39" s="15" t="s">
        <v>9</v>
      </c>
      <c r="D39" s="15"/>
      <c r="E39" s="53">
        <f>E41+E42</f>
        <v>34975.284</v>
      </c>
      <c r="F39" s="53">
        <f>F41+F42</f>
        <v>41356.492810000003</v>
      </c>
      <c r="G39" s="53">
        <f>G41+G42</f>
        <v>35602.828950000003</v>
      </c>
      <c r="H39" s="53">
        <f t="shared" ref="H39:J39" si="7">H41+H42</f>
        <v>25439</v>
      </c>
      <c r="I39" s="53">
        <f t="shared" si="7"/>
        <v>14129</v>
      </c>
      <c r="J39" s="53">
        <f t="shared" si="7"/>
        <v>14129</v>
      </c>
    </row>
    <row r="40" spans="1:10" ht="22.5" customHeight="1" x14ac:dyDescent="0.25">
      <c r="A40" s="81"/>
      <c r="B40" s="80"/>
      <c r="C40" s="6" t="s">
        <v>10</v>
      </c>
      <c r="D40" s="33"/>
      <c r="E40" s="37"/>
      <c r="F40" s="37"/>
      <c r="G40" s="37"/>
      <c r="H40" s="37"/>
      <c r="I40" s="37"/>
      <c r="J40" s="37"/>
    </row>
    <row r="41" spans="1:10" ht="22.5" customHeight="1" x14ac:dyDescent="0.25">
      <c r="A41" s="81"/>
      <c r="B41" s="80"/>
      <c r="C41" s="47"/>
      <c r="D41" s="13" t="s">
        <v>57</v>
      </c>
      <c r="E41" s="37">
        <v>6647.9</v>
      </c>
      <c r="F41" s="37">
        <v>5828.4189999999999</v>
      </c>
      <c r="G41" s="37">
        <f>7236.965-3.85-131.712-138.159-138.159</f>
        <v>6825.0850000000009</v>
      </c>
      <c r="H41" s="37">
        <v>3466</v>
      </c>
      <c r="I41" s="37">
        <v>2723</v>
      </c>
      <c r="J41" s="37">
        <v>2723</v>
      </c>
    </row>
    <row r="42" spans="1:10" ht="22.5" customHeight="1" x14ac:dyDescent="0.25">
      <c r="A42" s="81"/>
      <c r="B42" s="80"/>
      <c r="C42" s="47"/>
      <c r="D42" s="13"/>
      <c r="E42" s="37">
        <f>E43+E45+E46+E47+E49+E50+E51+E52+E53+E54+E55+E56+E57</f>
        <v>28327.383999999998</v>
      </c>
      <c r="F42" s="37">
        <f>F43+F44+F45+F46+F47+F49+F50+F51+F52+F53+F54+F55+F56+F57</f>
        <v>35528.073810000002</v>
      </c>
      <c r="G42" s="37">
        <f>G43+G45+G46+G47+G48+G50+G49+G51+G52+G53+G57</f>
        <v>28777.743950000004</v>
      </c>
      <c r="H42" s="37">
        <f t="shared" ref="H42:J42" si="8">H43+H45+H46+H47+H48+H50+H49+H51+H52+H53+H57</f>
        <v>21973</v>
      </c>
      <c r="I42" s="37">
        <f t="shared" si="8"/>
        <v>11406</v>
      </c>
      <c r="J42" s="37">
        <f t="shared" si="8"/>
        <v>11406</v>
      </c>
    </row>
    <row r="43" spans="1:10" ht="17.25" customHeight="1" x14ac:dyDescent="0.25">
      <c r="A43" s="81"/>
      <c r="B43" s="80"/>
      <c r="C43" s="114" t="s">
        <v>11</v>
      </c>
      <c r="D43" s="13" t="s">
        <v>114</v>
      </c>
      <c r="E43" s="37">
        <f>1734.712-E28</f>
        <v>130.74099999999999</v>
      </c>
      <c r="F43" s="37">
        <v>123.91947</v>
      </c>
      <c r="G43" s="37">
        <v>111.03989</v>
      </c>
      <c r="H43" s="37">
        <v>100</v>
      </c>
      <c r="I43" s="37">
        <v>12</v>
      </c>
      <c r="J43" s="37">
        <v>12</v>
      </c>
    </row>
    <row r="44" spans="1:10" ht="15" customHeight="1" x14ac:dyDescent="0.25">
      <c r="A44" s="81"/>
      <c r="B44" s="81"/>
      <c r="C44" s="115"/>
      <c r="D44" s="13" t="s">
        <v>30</v>
      </c>
      <c r="E44" s="37">
        <f>49.313-E29</f>
        <v>6.347999999999999</v>
      </c>
      <c r="F44" s="37"/>
      <c r="G44" s="37"/>
      <c r="H44" s="37"/>
      <c r="I44" s="37">
        <v>11</v>
      </c>
      <c r="J44" s="37">
        <v>11</v>
      </c>
    </row>
    <row r="45" spans="1:10" ht="19.5" customHeight="1" x14ac:dyDescent="0.25">
      <c r="A45" s="81"/>
      <c r="B45" s="81"/>
      <c r="C45" s="115"/>
      <c r="D45" s="13" t="s">
        <v>115</v>
      </c>
      <c r="E45" s="37">
        <v>10915.715</v>
      </c>
      <c r="F45" s="37">
        <v>13130.5069</v>
      </c>
      <c r="G45" s="37">
        <v>12984.812</v>
      </c>
      <c r="H45" s="37">
        <v>13050</v>
      </c>
      <c r="I45" s="37">
        <v>660</v>
      </c>
      <c r="J45" s="37">
        <v>660</v>
      </c>
    </row>
    <row r="46" spans="1:10" ht="25.5" customHeight="1" x14ac:dyDescent="0.25">
      <c r="A46" s="81"/>
      <c r="B46" s="81"/>
      <c r="C46" s="115"/>
      <c r="D46" s="13" t="s">
        <v>116</v>
      </c>
      <c r="E46" s="37">
        <f>3304.486-E30-E76</f>
        <v>3267.9209999999998</v>
      </c>
      <c r="F46" s="37">
        <f>1260.65304+139.005+195.594+42.45148+117.34812+91.2+140.38932+107.48475+4.329+19.53+52+798.33655</f>
        <v>2968.3212600000002</v>
      </c>
      <c r="G46" s="37">
        <f>3526.411-500-505-G30</f>
        <v>2373.4929999999999</v>
      </c>
      <c r="H46" s="37">
        <v>406</v>
      </c>
      <c r="I46" s="37">
        <v>95</v>
      </c>
      <c r="J46" s="37">
        <v>95</v>
      </c>
    </row>
    <row r="47" spans="1:10" ht="25.5" customHeight="1" x14ac:dyDescent="0.25">
      <c r="A47" s="81"/>
      <c r="B47" s="81"/>
      <c r="C47" s="115"/>
      <c r="D47" s="13" t="s">
        <v>92</v>
      </c>
      <c r="E47" s="37">
        <f>690+6.487</f>
        <v>696.48699999999997</v>
      </c>
      <c r="F47" s="37"/>
      <c r="G47" s="37">
        <v>500</v>
      </c>
      <c r="H47" s="37"/>
      <c r="I47" s="37"/>
      <c r="J47" s="37"/>
    </row>
    <row r="48" spans="1:10" ht="25.5" customHeight="1" x14ac:dyDescent="0.25">
      <c r="A48" s="81"/>
      <c r="B48" s="81"/>
      <c r="C48" s="115"/>
      <c r="D48" s="13" t="s">
        <v>93</v>
      </c>
      <c r="E48" s="37"/>
      <c r="F48" s="37"/>
      <c r="G48" s="37">
        <v>505</v>
      </c>
      <c r="H48" s="37"/>
      <c r="I48" s="37"/>
      <c r="J48" s="37"/>
    </row>
    <row r="49" spans="1:10" ht="25.5" customHeight="1" x14ac:dyDescent="0.25">
      <c r="A49" s="81"/>
      <c r="B49" s="81"/>
      <c r="C49" s="115"/>
      <c r="D49" s="13" t="s">
        <v>117</v>
      </c>
      <c r="E49" s="37"/>
      <c r="F49" s="37">
        <v>1420.74946</v>
      </c>
      <c r="G49" s="37"/>
      <c r="H49" s="37"/>
      <c r="I49" s="37"/>
      <c r="J49" s="37"/>
    </row>
    <row r="50" spans="1:10" ht="27" customHeight="1" x14ac:dyDescent="0.25">
      <c r="A50" s="81"/>
      <c r="B50" s="81"/>
      <c r="C50" s="115"/>
      <c r="D50" s="13" t="s">
        <v>118</v>
      </c>
      <c r="E50" s="37">
        <f>2164.061-E31</f>
        <v>1438.5770000000002</v>
      </c>
      <c r="F50" s="37">
        <f>4.164+64.80256+99.8+85+10.25+836.01916+27.96872+35.59456+219.54272+0.55+122.52365+13.6368</f>
        <v>1519.8521700000001</v>
      </c>
      <c r="G50" s="37">
        <f>2321.266-G31-31.18394</f>
        <v>1997.7540600000002</v>
      </c>
      <c r="H50" s="37">
        <v>243</v>
      </c>
      <c r="I50" s="37">
        <v>115</v>
      </c>
      <c r="J50" s="37">
        <v>115</v>
      </c>
    </row>
    <row r="51" spans="1:10" ht="25.5" customHeight="1" x14ac:dyDescent="0.25">
      <c r="A51" s="81"/>
      <c r="B51" s="81"/>
      <c r="C51" s="115"/>
      <c r="D51" s="13" t="s">
        <v>119</v>
      </c>
      <c r="E51" s="37">
        <v>158.81899999999999</v>
      </c>
      <c r="F51" s="37">
        <f>60+25+79.25+44.22998+30</f>
        <v>238.47998000000001</v>
      </c>
      <c r="G51" s="37">
        <f>50+75</f>
        <v>125</v>
      </c>
      <c r="H51" s="37">
        <v>108</v>
      </c>
      <c r="I51" s="37">
        <v>9</v>
      </c>
      <c r="J51" s="37">
        <v>9</v>
      </c>
    </row>
    <row r="52" spans="1:10" ht="25.5" customHeight="1" x14ac:dyDescent="0.25">
      <c r="A52" s="81"/>
      <c r="B52" s="81"/>
      <c r="C52" s="115"/>
      <c r="D52" s="13" t="s">
        <v>120</v>
      </c>
      <c r="E52" s="37">
        <v>4979.12</v>
      </c>
      <c r="F52" s="37">
        <f>4600.323+1733.279</f>
        <v>6333.6020000000008</v>
      </c>
      <c r="G52" s="37">
        <f>2331.633-G51-0.75</f>
        <v>2205.8829999999998</v>
      </c>
      <c r="H52" s="37">
        <v>1900</v>
      </c>
      <c r="I52" s="37">
        <v>7822</v>
      </c>
      <c r="J52" s="37">
        <v>7822</v>
      </c>
    </row>
    <row r="53" spans="1:10" ht="25.5" customHeight="1" x14ac:dyDescent="0.25">
      <c r="A53" s="81"/>
      <c r="B53" s="81"/>
      <c r="C53" s="115"/>
      <c r="D53" s="13" t="s">
        <v>121</v>
      </c>
      <c r="E53" s="37">
        <v>344.92099999999999</v>
      </c>
      <c r="F53" s="37">
        <v>267.44396999999998</v>
      </c>
      <c r="G53" s="37">
        <f>9273.26-G33-1048.7-4354.962-93.5-119.401</f>
        <v>2195.8010000000004</v>
      </c>
      <c r="H53" s="37"/>
      <c r="I53" s="37"/>
      <c r="J53" s="37"/>
    </row>
    <row r="54" spans="1:10" ht="25.5" customHeight="1" x14ac:dyDescent="0.25">
      <c r="A54" s="81"/>
      <c r="B54" s="81"/>
      <c r="C54" s="115"/>
      <c r="D54" s="13" t="s">
        <v>94</v>
      </c>
      <c r="E54" s="37">
        <f>50+0.913</f>
        <v>50.912999999999997</v>
      </c>
      <c r="F54" s="37"/>
      <c r="G54" s="37"/>
      <c r="H54" s="37"/>
      <c r="I54" s="37"/>
      <c r="J54" s="37"/>
    </row>
    <row r="55" spans="1:10" ht="25.5" customHeight="1" x14ac:dyDescent="0.25">
      <c r="A55" s="81"/>
      <c r="B55" s="81"/>
      <c r="C55" s="115"/>
      <c r="D55" s="13" t="s">
        <v>81</v>
      </c>
      <c r="E55" s="37"/>
      <c r="F55" s="37">
        <v>1375.5554</v>
      </c>
      <c r="G55" s="37"/>
      <c r="H55" s="37"/>
      <c r="I55" s="37"/>
      <c r="J55" s="37"/>
    </row>
    <row r="56" spans="1:10" ht="25.5" customHeight="1" x14ac:dyDescent="0.25">
      <c r="A56" s="81"/>
      <c r="B56" s="81"/>
      <c r="C56" s="115"/>
      <c r="D56" s="13" t="s">
        <v>82</v>
      </c>
      <c r="E56" s="37"/>
      <c r="F56" s="37">
        <v>1201.1632</v>
      </c>
      <c r="G56" s="37"/>
      <c r="H56" s="37"/>
      <c r="I56" s="37"/>
      <c r="J56" s="37"/>
    </row>
    <row r="57" spans="1:10" ht="30" customHeight="1" x14ac:dyDescent="0.25">
      <c r="A57" s="81"/>
      <c r="B57" s="81"/>
      <c r="C57" s="115"/>
      <c r="D57" s="13" t="s">
        <v>122</v>
      </c>
      <c r="E57" s="37">
        <v>6344.17</v>
      </c>
      <c r="F57" s="37">
        <v>6948.48</v>
      </c>
      <c r="G57" s="37">
        <f>6854.322-G34-331.531-330.99+5.6+0.006</f>
        <v>5778.9610000000011</v>
      </c>
      <c r="H57" s="37">
        <v>6166</v>
      </c>
      <c r="I57" s="37">
        <f t="shared" ref="I57:J57" si="9">2643+50</f>
        <v>2693</v>
      </c>
      <c r="J57" s="37">
        <f t="shared" si="9"/>
        <v>2693</v>
      </c>
    </row>
    <row r="58" spans="1:10" ht="19.5" customHeight="1" x14ac:dyDescent="0.25">
      <c r="A58" s="81"/>
      <c r="B58" s="79" t="s">
        <v>53</v>
      </c>
      <c r="C58" s="15" t="s">
        <v>9</v>
      </c>
      <c r="D58" s="15"/>
      <c r="E58" s="53">
        <f>E60+E61+E63+E64+E65+E67+E68+E71+E69+E62</f>
        <v>9444.7570000000014</v>
      </c>
      <c r="F58" s="53">
        <f t="shared" ref="F58:J58" si="10">F60+F61+F63+F64+F65+F67+F68+F71+F69+F62</f>
        <v>10017.47118</v>
      </c>
      <c r="G58" s="53">
        <f t="shared" si="10"/>
        <v>10885.75966</v>
      </c>
      <c r="H58" s="53">
        <f>H60+H61+H63+H64+H65+H67+H68+H71+H69+H62</f>
        <v>10556</v>
      </c>
      <c r="I58" s="53">
        <f t="shared" si="10"/>
        <v>7896.4</v>
      </c>
      <c r="J58" s="53">
        <f t="shared" si="10"/>
        <v>7896.4</v>
      </c>
    </row>
    <row r="59" spans="1:10" ht="28.5" customHeight="1" x14ac:dyDescent="0.25">
      <c r="A59" s="81"/>
      <c r="B59" s="80"/>
      <c r="C59" s="6" t="s">
        <v>10</v>
      </c>
      <c r="D59" s="21"/>
      <c r="E59" s="37"/>
      <c r="F59" s="37"/>
      <c r="G59" s="37"/>
      <c r="H59" s="37"/>
      <c r="I59" s="37"/>
      <c r="J59" s="37"/>
    </row>
    <row r="60" spans="1:10" ht="22.5" customHeight="1" x14ac:dyDescent="0.25">
      <c r="A60" s="81"/>
      <c r="B60" s="80"/>
      <c r="C60" s="47"/>
      <c r="D60" s="13" t="s">
        <v>123</v>
      </c>
      <c r="E60" s="37">
        <v>2635.7</v>
      </c>
      <c r="F60" s="37">
        <v>2644.0486900000001</v>
      </c>
      <c r="G60" s="37">
        <v>2980.8429999999998</v>
      </c>
      <c r="H60" s="37">
        <v>3108</v>
      </c>
      <c r="I60" s="37">
        <v>2708</v>
      </c>
      <c r="J60" s="37">
        <v>2708</v>
      </c>
    </row>
    <row r="61" spans="1:10" ht="15" customHeight="1" x14ac:dyDescent="0.25">
      <c r="A61" s="81"/>
      <c r="B61" s="80"/>
      <c r="C61" s="114" t="s">
        <v>11</v>
      </c>
      <c r="D61" s="13" t="s">
        <v>124</v>
      </c>
      <c r="E61" s="37">
        <f>3075.8-2256.984</f>
        <v>818.81600000000026</v>
      </c>
      <c r="F61" s="37">
        <v>769.54962999999998</v>
      </c>
      <c r="G61" s="37">
        <v>933.19</v>
      </c>
      <c r="H61" s="37">
        <v>946</v>
      </c>
      <c r="I61" s="37">
        <v>769</v>
      </c>
      <c r="J61" s="37">
        <v>769</v>
      </c>
    </row>
    <row r="62" spans="1:10" ht="15" customHeight="1" x14ac:dyDescent="0.25">
      <c r="A62" s="81"/>
      <c r="B62" s="80"/>
      <c r="C62" s="115"/>
      <c r="D62" s="13" t="s">
        <v>65</v>
      </c>
      <c r="E62" s="37">
        <v>1.5</v>
      </c>
      <c r="F62" s="37"/>
      <c r="G62" s="37"/>
      <c r="H62" s="37"/>
      <c r="I62" s="37"/>
      <c r="J62" s="37"/>
    </row>
    <row r="63" spans="1:10" ht="24" customHeight="1" x14ac:dyDescent="0.25">
      <c r="A63" s="81"/>
      <c r="B63" s="81"/>
      <c r="C63" s="115"/>
      <c r="D63" s="13" t="s">
        <v>125</v>
      </c>
      <c r="E63" s="37">
        <v>57.7</v>
      </c>
      <c r="F63" s="37">
        <v>71.020189999999999</v>
      </c>
      <c r="G63" s="37">
        <v>68.108999999999995</v>
      </c>
      <c r="H63" s="37">
        <v>60</v>
      </c>
      <c r="I63" s="37">
        <v>57</v>
      </c>
      <c r="J63" s="37">
        <v>57</v>
      </c>
    </row>
    <row r="64" spans="1:10" ht="18" customHeight="1" x14ac:dyDescent="0.25">
      <c r="A64" s="81"/>
      <c r="B64" s="81"/>
      <c r="C64" s="115"/>
      <c r="D64" s="13" t="s">
        <v>126</v>
      </c>
      <c r="E64" s="76">
        <v>2280.6410000000001</v>
      </c>
      <c r="F64" s="37">
        <v>2191.7157200000001</v>
      </c>
      <c r="G64" s="37">
        <v>2766.0630000000001</v>
      </c>
      <c r="H64" s="37">
        <v>2557</v>
      </c>
      <c r="I64" s="37">
        <v>1452</v>
      </c>
      <c r="J64" s="37">
        <v>1452</v>
      </c>
    </row>
    <row r="65" spans="1:10" ht="20.25" customHeight="1" x14ac:dyDescent="0.25">
      <c r="A65" s="81"/>
      <c r="B65" s="81"/>
      <c r="C65" s="115"/>
      <c r="D65" s="13" t="s">
        <v>127</v>
      </c>
      <c r="E65" s="37">
        <v>352.47699999999998</v>
      </c>
      <c r="F65" s="37">
        <v>513.64562999999998</v>
      </c>
      <c r="G65" s="37">
        <v>393.291</v>
      </c>
      <c r="H65" s="37">
        <v>66</v>
      </c>
      <c r="I65" s="37">
        <v>61</v>
      </c>
      <c r="J65" s="37">
        <v>61</v>
      </c>
    </row>
    <row r="66" spans="1:10" ht="20.25" customHeight="1" x14ac:dyDescent="0.25">
      <c r="A66" s="81"/>
      <c r="B66" s="81"/>
      <c r="C66" s="115"/>
      <c r="D66" s="13" t="s">
        <v>83</v>
      </c>
      <c r="E66" s="37"/>
      <c r="F66" s="37">
        <v>20000</v>
      </c>
      <c r="G66" s="37"/>
      <c r="H66" s="37"/>
      <c r="I66" s="37"/>
      <c r="J66" s="37"/>
    </row>
    <row r="67" spans="1:10" ht="21" customHeight="1" x14ac:dyDescent="0.25">
      <c r="A67" s="81"/>
      <c r="B67" s="81"/>
      <c r="C67" s="115"/>
      <c r="D67" s="13" t="s">
        <v>128</v>
      </c>
      <c r="E67" s="38">
        <v>282.26</v>
      </c>
      <c r="F67" s="37">
        <v>239.49107000000001</v>
      </c>
      <c r="G67" s="37">
        <v>309.28865999999999</v>
      </c>
      <c r="H67" s="37">
        <v>100</v>
      </c>
      <c r="I67" s="37">
        <v>414</v>
      </c>
      <c r="J67" s="37">
        <v>414</v>
      </c>
    </row>
    <row r="68" spans="1:10" ht="15.75" customHeight="1" x14ac:dyDescent="0.25">
      <c r="A68" s="81"/>
      <c r="B68" s="81"/>
      <c r="C68" s="115"/>
      <c r="D68" s="13" t="s">
        <v>129</v>
      </c>
      <c r="E68" s="38">
        <v>284.8</v>
      </c>
      <c r="F68" s="37">
        <f>162.1+144.227</f>
        <v>306.327</v>
      </c>
      <c r="G68" s="37">
        <v>438.38200000000001</v>
      </c>
      <c r="H68" s="37">
        <v>510</v>
      </c>
      <c r="I68" s="37">
        <v>528</v>
      </c>
      <c r="J68" s="37">
        <v>528</v>
      </c>
    </row>
    <row r="69" spans="1:10" ht="15.75" customHeight="1" x14ac:dyDescent="0.25">
      <c r="A69" s="81"/>
      <c r="B69" s="81"/>
      <c r="C69" s="115"/>
      <c r="D69" s="13" t="s">
        <v>130</v>
      </c>
      <c r="E69" s="38">
        <v>146.28</v>
      </c>
      <c r="F69" s="37">
        <v>63.87988</v>
      </c>
      <c r="G69" s="37">
        <f>497.399-G20</f>
        <v>12</v>
      </c>
      <c r="H69" s="37"/>
      <c r="I69" s="37"/>
      <c r="J69" s="37"/>
    </row>
    <row r="70" spans="1:10" ht="15.75" customHeight="1" x14ac:dyDescent="0.25">
      <c r="A70" s="81"/>
      <c r="B70" s="81"/>
      <c r="C70" s="115"/>
      <c r="D70" s="13" t="s">
        <v>84</v>
      </c>
      <c r="E70" s="38"/>
      <c r="F70" s="37">
        <v>3300</v>
      </c>
      <c r="G70" s="37">
        <v>743.21348999999998</v>
      </c>
      <c r="H70" s="37"/>
      <c r="I70" s="37"/>
      <c r="J70" s="37"/>
    </row>
    <row r="71" spans="1:10" ht="21" customHeight="1" x14ac:dyDescent="0.25">
      <c r="A71" s="82"/>
      <c r="B71" s="82"/>
      <c r="C71" s="122"/>
      <c r="D71" s="13" t="s">
        <v>131</v>
      </c>
      <c r="E71" s="37">
        <v>2584.5830000000001</v>
      </c>
      <c r="F71" s="37">
        <v>3217.7933699999999</v>
      </c>
      <c r="G71" s="37">
        <f>3302.022-G21</f>
        <v>2984.5929999999998</v>
      </c>
      <c r="H71" s="37">
        <v>3209</v>
      </c>
      <c r="I71" s="37">
        <v>1907.4</v>
      </c>
      <c r="J71" s="37">
        <v>1907.4</v>
      </c>
    </row>
    <row r="72" spans="1:10" ht="21" customHeight="1" x14ac:dyDescent="0.25">
      <c r="A72" s="100" t="s">
        <v>25</v>
      </c>
      <c r="B72" s="98" t="s">
        <v>26</v>
      </c>
      <c r="C72" s="19" t="s">
        <v>9</v>
      </c>
      <c r="D72" s="19"/>
      <c r="E72" s="54">
        <f>E76+E82+E84</f>
        <v>564.32599999999991</v>
      </c>
      <c r="F72" s="54">
        <f>F74</f>
        <v>542.29960000000005</v>
      </c>
      <c r="G72" s="54">
        <f t="shared" ref="G72:J72" si="11">G74</f>
        <v>561.99400000000003</v>
      </c>
      <c r="H72" s="54">
        <f t="shared" si="11"/>
        <v>200</v>
      </c>
      <c r="I72" s="54">
        <f t="shared" si="11"/>
        <v>50</v>
      </c>
      <c r="J72" s="54">
        <f t="shared" si="11"/>
        <v>50</v>
      </c>
    </row>
    <row r="73" spans="1:10" ht="30" customHeight="1" x14ac:dyDescent="0.25">
      <c r="A73" s="100"/>
      <c r="B73" s="98"/>
      <c r="C73" s="11" t="s">
        <v>15</v>
      </c>
      <c r="D73" s="11"/>
      <c r="E73" s="34"/>
      <c r="F73" s="34"/>
      <c r="G73" s="34"/>
      <c r="H73" s="38"/>
      <c r="I73" s="38"/>
      <c r="J73" s="38"/>
    </row>
    <row r="74" spans="1:10" ht="21" customHeight="1" x14ac:dyDescent="0.25">
      <c r="A74" s="100"/>
      <c r="B74" s="98"/>
      <c r="C74" s="11" t="s">
        <v>16</v>
      </c>
      <c r="D74" s="11"/>
      <c r="E74" s="34">
        <f>E76+E78+E82+E84</f>
        <v>564.32599999999991</v>
      </c>
      <c r="F74" s="34">
        <f>F76+F78+F82+F84+F80</f>
        <v>542.29960000000005</v>
      </c>
      <c r="G74" s="34">
        <f>G77+G78+G81+G82+G83+G84</f>
        <v>561.99400000000003</v>
      </c>
      <c r="H74" s="34">
        <f>H76+H78+H84+H79</f>
        <v>200</v>
      </c>
      <c r="I74" s="34">
        <f>I76+I78+I84</f>
        <v>50</v>
      </c>
      <c r="J74" s="34">
        <f>J76+J78+J84</f>
        <v>50</v>
      </c>
    </row>
    <row r="75" spans="1:10" ht="21" customHeight="1" x14ac:dyDescent="0.25">
      <c r="A75" s="100"/>
      <c r="B75" s="98"/>
      <c r="C75" s="12" t="s">
        <v>10</v>
      </c>
      <c r="D75" s="12"/>
      <c r="E75" s="35"/>
      <c r="F75" s="35"/>
      <c r="G75" s="35"/>
      <c r="H75" s="38">
        <f t="shared" ref="H75:J75" si="12">G75*1.05</f>
        <v>0</v>
      </c>
      <c r="I75" s="38">
        <f t="shared" si="12"/>
        <v>0</v>
      </c>
      <c r="J75" s="38">
        <f t="shared" si="12"/>
        <v>0</v>
      </c>
    </row>
    <row r="76" spans="1:10" ht="21" customHeight="1" x14ac:dyDescent="0.25">
      <c r="A76" s="100"/>
      <c r="B76" s="98"/>
      <c r="C76" s="114" t="s">
        <v>11</v>
      </c>
      <c r="D76" s="6" t="s">
        <v>63</v>
      </c>
      <c r="E76" s="34">
        <v>3.3860000000000001</v>
      </c>
      <c r="F76" s="34">
        <f>9.768+16.23975</f>
        <v>26.007750000000001</v>
      </c>
      <c r="G76" s="34"/>
      <c r="H76" s="34">
        <v>35</v>
      </c>
      <c r="I76" s="34">
        <v>5</v>
      </c>
      <c r="J76" s="34">
        <v>5</v>
      </c>
    </row>
    <row r="77" spans="1:10" ht="21" customHeight="1" x14ac:dyDescent="0.25">
      <c r="A77" s="100"/>
      <c r="B77" s="98"/>
      <c r="C77" s="115"/>
      <c r="D77" s="6" t="s">
        <v>132</v>
      </c>
      <c r="E77" s="34"/>
      <c r="F77" s="34"/>
      <c r="G77" s="34">
        <v>17.199000000000002</v>
      </c>
      <c r="H77" s="34"/>
      <c r="I77" s="34"/>
      <c r="J77" s="34"/>
    </row>
    <row r="78" spans="1:10" ht="21" customHeight="1" x14ac:dyDescent="0.25">
      <c r="A78" s="100"/>
      <c r="B78" s="98"/>
      <c r="C78" s="116"/>
      <c r="D78" s="6" t="s">
        <v>133</v>
      </c>
      <c r="E78" s="34"/>
      <c r="F78" s="34"/>
      <c r="G78" s="34">
        <v>34.091000000000001</v>
      </c>
      <c r="H78" s="34">
        <v>44</v>
      </c>
      <c r="I78" s="34">
        <v>15</v>
      </c>
      <c r="J78" s="34">
        <v>15</v>
      </c>
    </row>
    <row r="79" spans="1:10" ht="21" customHeight="1" x14ac:dyDescent="0.25">
      <c r="A79" s="100"/>
      <c r="B79" s="98"/>
      <c r="C79" s="116"/>
      <c r="D79" s="6" t="s">
        <v>134</v>
      </c>
      <c r="E79" s="34"/>
      <c r="F79" s="34"/>
      <c r="G79" s="34"/>
      <c r="H79" s="34">
        <v>22</v>
      </c>
      <c r="I79" s="34"/>
      <c r="J79" s="34"/>
    </row>
    <row r="80" spans="1:10" ht="21" customHeight="1" x14ac:dyDescent="0.25">
      <c r="A80" s="100"/>
      <c r="B80" s="98"/>
      <c r="C80" s="116"/>
      <c r="D80" s="6" t="s">
        <v>135</v>
      </c>
      <c r="E80" s="34"/>
      <c r="F80" s="34">
        <v>5.44</v>
      </c>
      <c r="G80" s="34"/>
      <c r="H80" s="34"/>
      <c r="I80" s="34"/>
      <c r="J80" s="34"/>
    </row>
    <row r="81" spans="1:10" ht="21" customHeight="1" x14ac:dyDescent="0.25">
      <c r="A81" s="100"/>
      <c r="B81" s="98"/>
      <c r="C81" s="116"/>
      <c r="D81" s="6" t="s">
        <v>136</v>
      </c>
      <c r="E81" s="34"/>
      <c r="F81" s="34"/>
      <c r="G81" s="34">
        <v>9.4019999999999992</v>
      </c>
      <c r="H81" s="34"/>
      <c r="I81" s="34"/>
      <c r="J81" s="34"/>
    </row>
    <row r="82" spans="1:10" ht="21" customHeight="1" x14ac:dyDescent="0.25">
      <c r="A82" s="100"/>
      <c r="B82" s="98"/>
      <c r="C82" s="116"/>
      <c r="D82" s="6" t="s">
        <v>66</v>
      </c>
      <c r="E82" s="34">
        <v>510.52</v>
      </c>
      <c r="F82" s="34">
        <f>374.4166+112.883</f>
        <v>487.2996</v>
      </c>
      <c r="G82" s="34">
        <f>37.632+274.756+131.712</f>
        <v>444.09999999999997</v>
      </c>
      <c r="H82" s="35"/>
      <c r="I82" s="35"/>
      <c r="J82" s="35"/>
    </row>
    <row r="83" spans="1:10" ht="21" customHeight="1" x14ac:dyDescent="0.25">
      <c r="A83" s="100"/>
      <c r="B83" s="98"/>
      <c r="C83" s="116"/>
      <c r="D83" s="6" t="s">
        <v>137</v>
      </c>
      <c r="E83" s="34"/>
      <c r="F83" s="34"/>
      <c r="G83" s="34">
        <v>6.3979999999999997</v>
      </c>
      <c r="H83" s="35"/>
      <c r="I83" s="35"/>
      <c r="J83" s="35"/>
    </row>
    <row r="84" spans="1:10" ht="28.5" customHeight="1" x14ac:dyDescent="0.25">
      <c r="A84" s="100"/>
      <c r="B84" s="98"/>
      <c r="C84" s="117"/>
      <c r="D84" s="6" t="s">
        <v>138</v>
      </c>
      <c r="E84" s="34">
        <v>50.42</v>
      </c>
      <c r="F84" s="34">
        <f>6.354+0.54+5.07825+11.58</f>
        <v>23.552250000000001</v>
      </c>
      <c r="G84" s="34">
        <v>50.804000000000002</v>
      </c>
      <c r="H84" s="34">
        <v>99</v>
      </c>
      <c r="I84" s="34">
        <v>30</v>
      </c>
      <c r="J84" s="34">
        <v>30</v>
      </c>
    </row>
    <row r="85" spans="1:10" x14ac:dyDescent="0.25">
      <c r="A85" s="98" t="s">
        <v>14</v>
      </c>
      <c r="B85" s="98" t="s">
        <v>50</v>
      </c>
      <c r="C85" s="18" t="s">
        <v>9</v>
      </c>
      <c r="D85" s="18"/>
      <c r="E85" s="43">
        <f>E90+E92</f>
        <v>7609.2500000000009</v>
      </c>
      <c r="F85" s="43">
        <f t="shared" ref="F85:J85" si="13">F90+F92</f>
        <v>11106.50001</v>
      </c>
      <c r="G85" s="43">
        <f t="shared" si="13"/>
        <v>11438.833999999999</v>
      </c>
      <c r="H85" s="43">
        <f t="shared" si="13"/>
        <v>12245</v>
      </c>
      <c r="I85" s="43">
        <f t="shared" si="13"/>
        <v>9206</v>
      </c>
      <c r="J85" s="43">
        <f t="shared" si="13"/>
        <v>9206</v>
      </c>
    </row>
    <row r="86" spans="1:10" x14ac:dyDescent="0.25">
      <c r="A86" s="98"/>
      <c r="B86" s="98"/>
      <c r="C86" s="6" t="s">
        <v>10</v>
      </c>
      <c r="D86" s="6"/>
      <c r="E86" s="37"/>
      <c r="F86" s="37"/>
      <c r="G86" s="37"/>
      <c r="H86" s="38"/>
      <c r="I86" s="38"/>
      <c r="J86" s="38"/>
    </row>
    <row r="87" spans="1:10" ht="45" x14ac:dyDescent="0.25">
      <c r="A87" s="98"/>
      <c r="B87" s="98"/>
      <c r="C87" s="6" t="s">
        <v>11</v>
      </c>
      <c r="D87" s="6"/>
      <c r="E87" s="37"/>
      <c r="F87" s="37"/>
      <c r="G87" s="37"/>
      <c r="H87" s="37"/>
      <c r="I87" s="37"/>
      <c r="J87" s="37"/>
    </row>
    <row r="88" spans="1:10" ht="15.75" customHeight="1" x14ac:dyDescent="0.25">
      <c r="A88" s="79" t="s">
        <v>31</v>
      </c>
      <c r="B88" s="79" t="s">
        <v>29</v>
      </c>
      <c r="C88" s="6" t="s">
        <v>9</v>
      </c>
      <c r="D88" s="6"/>
      <c r="E88" s="37"/>
      <c r="F88" s="37"/>
      <c r="G88" s="37"/>
      <c r="H88" s="37"/>
      <c r="I88" s="37"/>
      <c r="J88" s="37"/>
    </row>
    <row r="89" spans="1:10" x14ac:dyDescent="0.25">
      <c r="A89" s="101"/>
      <c r="B89" s="80"/>
      <c r="C89" s="6" t="s">
        <v>10</v>
      </c>
      <c r="D89" s="6"/>
      <c r="E89" s="37"/>
      <c r="F89" s="37"/>
      <c r="G89" s="37"/>
      <c r="H89" s="38"/>
      <c r="I89" s="38"/>
      <c r="J89" s="38"/>
    </row>
    <row r="90" spans="1:10" x14ac:dyDescent="0.25">
      <c r="A90" s="101"/>
      <c r="B90" s="80"/>
      <c r="C90" s="47"/>
      <c r="D90" s="9" t="s">
        <v>69</v>
      </c>
      <c r="E90" s="37"/>
      <c r="F90" s="37">
        <f>6627.6+85.4-0.01</f>
        <v>6712.99</v>
      </c>
      <c r="G90" s="37">
        <v>7511</v>
      </c>
      <c r="H90" s="38">
        <v>7453</v>
      </c>
      <c r="I90" s="38">
        <v>4576</v>
      </c>
      <c r="J90" s="38">
        <v>4576</v>
      </c>
    </row>
    <row r="91" spans="1:10" x14ac:dyDescent="0.25">
      <c r="A91" s="101"/>
      <c r="B91" s="80"/>
      <c r="C91" s="47"/>
      <c r="D91" s="9"/>
      <c r="E91" s="37"/>
      <c r="F91" s="37"/>
      <c r="G91" s="37"/>
      <c r="H91" s="38"/>
      <c r="I91" s="38"/>
      <c r="J91" s="38"/>
    </row>
    <row r="92" spans="1:10" x14ac:dyDescent="0.25">
      <c r="A92" s="101"/>
      <c r="B92" s="80"/>
      <c r="C92" s="47"/>
      <c r="D92" s="9"/>
      <c r="E92" s="37">
        <f>E93+E94+E95+E96+E97+E98+E99+E100+E101+E102+E103</f>
        <v>7609.2500000000009</v>
      </c>
      <c r="F92" s="37">
        <f>F93+F94+F96+F97+F98+F99+F100+F101+F103</f>
        <v>4393.51001</v>
      </c>
      <c r="G92" s="37">
        <f>G93+G94+G96+G97+G98+G99+G100+G102+G103</f>
        <v>3927.8339999999998</v>
      </c>
      <c r="H92" s="37">
        <f t="shared" ref="H92:J92" si="14">H93+H94+H96+H97+H98+H99+H100+H102+H103</f>
        <v>4792</v>
      </c>
      <c r="I92" s="37">
        <f t="shared" si="14"/>
        <v>4630</v>
      </c>
      <c r="J92" s="37">
        <f t="shared" si="14"/>
        <v>4630</v>
      </c>
    </row>
    <row r="93" spans="1:10" ht="24.75" customHeight="1" x14ac:dyDescent="0.25">
      <c r="A93" s="101"/>
      <c r="B93" s="80"/>
      <c r="C93" s="114" t="s">
        <v>11</v>
      </c>
      <c r="D93" s="9" t="s">
        <v>140</v>
      </c>
      <c r="E93" s="37">
        <v>3694.2979999999998</v>
      </c>
      <c r="F93" s="37">
        <v>2419.9191099999998</v>
      </c>
      <c r="G93" s="37">
        <v>2298.1260000000002</v>
      </c>
      <c r="H93" s="37">
        <v>2868</v>
      </c>
      <c r="I93" s="37">
        <v>2878</v>
      </c>
      <c r="J93" s="37">
        <v>2878</v>
      </c>
    </row>
    <row r="94" spans="1:10" ht="18.75" customHeight="1" x14ac:dyDescent="0.25">
      <c r="A94" s="81"/>
      <c r="B94" s="85"/>
      <c r="C94" s="116"/>
      <c r="D94" s="9" t="s">
        <v>141</v>
      </c>
      <c r="E94" s="37">
        <v>1108.623</v>
      </c>
      <c r="F94" s="37">
        <v>732.25368000000003</v>
      </c>
      <c r="G94" s="37">
        <v>694.63499999999999</v>
      </c>
      <c r="H94" s="37">
        <v>826</v>
      </c>
      <c r="I94" s="37">
        <v>817</v>
      </c>
      <c r="J94" s="37">
        <v>817</v>
      </c>
    </row>
    <row r="95" spans="1:10" ht="18.75" customHeight="1" x14ac:dyDescent="0.25">
      <c r="A95" s="81"/>
      <c r="B95" s="85"/>
      <c r="C95" s="116"/>
      <c r="D95" s="9" t="s">
        <v>142</v>
      </c>
      <c r="E95" s="37"/>
      <c r="F95" s="37"/>
      <c r="G95" s="37"/>
      <c r="H95" s="37"/>
      <c r="I95" s="37"/>
      <c r="J95" s="37"/>
    </row>
    <row r="96" spans="1:10" x14ac:dyDescent="0.25">
      <c r="A96" s="81"/>
      <c r="B96" s="85"/>
      <c r="C96" s="116"/>
      <c r="D96" s="9" t="s">
        <v>143</v>
      </c>
      <c r="E96" s="37">
        <v>30.632999999999999</v>
      </c>
      <c r="F96" s="37">
        <v>23.977599999999999</v>
      </c>
      <c r="G96" s="37">
        <v>25.257999999999999</v>
      </c>
      <c r="H96" s="37">
        <v>20</v>
      </c>
      <c r="I96" s="37">
        <v>6</v>
      </c>
      <c r="J96" s="37">
        <v>6</v>
      </c>
    </row>
    <row r="97" spans="1:10" ht="25.5" customHeight="1" x14ac:dyDescent="0.25">
      <c r="A97" s="81"/>
      <c r="B97" s="85"/>
      <c r="C97" s="116"/>
      <c r="D97" s="9" t="s">
        <v>144</v>
      </c>
      <c r="E97" s="37">
        <v>868.44</v>
      </c>
      <c r="F97" s="37">
        <v>576.80916999999999</v>
      </c>
      <c r="G97" s="37">
        <v>385.38299999999998</v>
      </c>
      <c r="H97" s="37">
        <v>601</v>
      </c>
      <c r="I97" s="37">
        <v>438</v>
      </c>
      <c r="J97" s="37">
        <v>438</v>
      </c>
    </row>
    <row r="98" spans="1:10" ht="19.5" customHeight="1" x14ac:dyDescent="0.25">
      <c r="A98" s="81"/>
      <c r="B98" s="85"/>
      <c r="C98" s="116"/>
      <c r="D98" s="9" t="s">
        <v>145</v>
      </c>
      <c r="E98" s="37">
        <v>1000.228</v>
      </c>
      <c r="F98" s="37">
        <v>326.15024</v>
      </c>
      <c r="G98" s="37">
        <v>166.73</v>
      </c>
      <c r="H98" s="37">
        <v>145</v>
      </c>
      <c r="I98" s="37">
        <v>8</v>
      </c>
      <c r="J98" s="37">
        <v>8</v>
      </c>
    </row>
    <row r="99" spans="1:10" ht="19.5" customHeight="1" x14ac:dyDescent="0.25">
      <c r="A99" s="81"/>
      <c r="B99" s="85"/>
      <c r="C99" s="116"/>
      <c r="D99" s="9" t="s">
        <v>146</v>
      </c>
      <c r="E99" s="37">
        <v>251.91200000000001</v>
      </c>
      <c r="F99" s="37">
        <v>252.42321000000001</v>
      </c>
      <c r="G99" s="37">
        <v>285.81599999999997</v>
      </c>
      <c r="H99" s="37">
        <v>288</v>
      </c>
      <c r="I99" s="37">
        <v>419</v>
      </c>
      <c r="J99" s="37">
        <v>419</v>
      </c>
    </row>
    <row r="100" spans="1:10" ht="35.25" customHeight="1" x14ac:dyDescent="0.25">
      <c r="A100" s="81"/>
      <c r="B100" s="85"/>
      <c r="C100" s="116"/>
      <c r="D100" s="9" t="s">
        <v>147</v>
      </c>
      <c r="E100" s="37">
        <v>391.90899999999999</v>
      </c>
      <c r="F100" s="37">
        <v>42.112000000000002</v>
      </c>
      <c r="G100" s="37">
        <v>29.385999999999999</v>
      </c>
      <c r="H100" s="37">
        <v>37</v>
      </c>
      <c r="I100" s="37">
        <v>60</v>
      </c>
      <c r="J100" s="37">
        <v>60</v>
      </c>
    </row>
    <row r="101" spans="1:10" ht="19.5" customHeight="1" x14ac:dyDescent="0.25">
      <c r="A101" s="81"/>
      <c r="B101" s="85"/>
      <c r="C101" s="116"/>
      <c r="D101" s="9" t="s">
        <v>148</v>
      </c>
      <c r="E101" s="37"/>
      <c r="F101" s="37"/>
      <c r="G101" s="37"/>
      <c r="H101" s="37"/>
      <c r="I101" s="37">
        <v>10</v>
      </c>
      <c r="J101" s="37">
        <v>10</v>
      </c>
    </row>
    <row r="102" spans="1:10" ht="19.5" customHeight="1" x14ac:dyDescent="0.25">
      <c r="A102" s="81"/>
      <c r="B102" s="85"/>
      <c r="C102" s="116"/>
      <c r="D102" s="9" t="s">
        <v>149</v>
      </c>
      <c r="E102" s="37">
        <v>158.71</v>
      </c>
      <c r="F102" s="37"/>
      <c r="G102" s="37">
        <v>15</v>
      </c>
      <c r="H102" s="37"/>
      <c r="I102" s="37"/>
      <c r="J102" s="37"/>
    </row>
    <row r="103" spans="1:10" ht="19.5" customHeight="1" x14ac:dyDescent="0.25">
      <c r="A103" s="82"/>
      <c r="B103" s="86"/>
      <c r="C103" s="117"/>
      <c r="D103" s="9" t="s">
        <v>150</v>
      </c>
      <c r="E103" s="37">
        <v>104.497</v>
      </c>
      <c r="F103" s="37">
        <v>19.864999999999998</v>
      </c>
      <c r="G103" s="37">
        <v>27.5</v>
      </c>
      <c r="H103" s="37">
        <v>7</v>
      </c>
      <c r="I103" s="37">
        <v>4</v>
      </c>
      <c r="J103" s="37">
        <v>4</v>
      </c>
    </row>
    <row r="104" spans="1:10" ht="21.75" customHeight="1" x14ac:dyDescent="0.25">
      <c r="A104" s="98" t="s">
        <v>18</v>
      </c>
      <c r="B104" s="98" t="s">
        <v>61</v>
      </c>
      <c r="C104" s="20" t="s">
        <v>9</v>
      </c>
      <c r="D104" s="20"/>
      <c r="E104" s="32">
        <f>E107</f>
        <v>348.73899999999998</v>
      </c>
      <c r="F104" s="32">
        <f t="shared" ref="F104:J104" si="15">F107</f>
        <v>311.19151999999997</v>
      </c>
      <c r="G104" s="32">
        <f t="shared" si="15"/>
        <v>359.142</v>
      </c>
      <c r="H104" s="32">
        <f t="shared" si="15"/>
        <v>388</v>
      </c>
      <c r="I104" s="32">
        <f t="shared" si="15"/>
        <v>300</v>
      </c>
      <c r="J104" s="32">
        <f t="shared" si="15"/>
        <v>300</v>
      </c>
    </row>
    <row r="105" spans="1:10" ht="29.25" customHeight="1" x14ac:dyDescent="0.25">
      <c r="A105" s="98"/>
      <c r="B105" s="98"/>
      <c r="C105" s="11" t="s">
        <v>15</v>
      </c>
      <c r="D105" s="11"/>
      <c r="E105" s="34"/>
      <c r="F105" s="34"/>
      <c r="G105" s="34"/>
      <c r="H105" s="38"/>
      <c r="I105" s="38"/>
      <c r="J105" s="38"/>
    </row>
    <row r="106" spans="1:10" ht="19.5" customHeight="1" x14ac:dyDescent="0.25">
      <c r="A106" s="98"/>
      <c r="B106" s="98"/>
      <c r="C106" s="12" t="s">
        <v>10</v>
      </c>
      <c r="D106" s="12"/>
      <c r="E106" s="35"/>
      <c r="F106" s="35"/>
      <c r="G106" s="35"/>
      <c r="H106" s="38"/>
      <c r="I106" s="38"/>
      <c r="J106" s="38"/>
    </row>
    <row r="107" spans="1:10" ht="40.5" customHeight="1" x14ac:dyDescent="0.25">
      <c r="A107" s="98"/>
      <c r="B107" s="98"/>
      <c r="C107" s="6" t="s">
        <v>11</v>
      </c>
      <c r="D107" s="6"/>
      <c r="E107" s="34">
        <f t="shared" ref="E107:F107" si="16">E108</f>
        <v>348.73899999999998</v>
      </c>
      <c r="F107" s="34">
        <f t="shared" si="16"/>
        <v>311.19151999999997</v>
      </c>
      <c r="G107" s="34">
        <f>G108</f>
        <v>359.142</v>
      </c>
      <c r="H107" s="34">
        <f t="shared" ref="H107:J107" si="17">H108</f>
        <v>388</v>
      </c>
      <c r="I107" s="34">
        <f t="shared" si="17"/>
        <v>300</v>
      </c>
      <c r="J107" s="34">
        <f t="shared" si="17"/>
        <v>300</v>
      </c>
    </row>
    <row r="108" spans="1:10" ht="19.5" customHeight="1" x14ac:dyDescent="0.25">
      <c r="A108" s="96" t="s">
        <v>35</v>
      </c>
      <c r="B108" s="79" t="s">
        <v>17</v>
      </c>
      <c r="C108" s="10" t="s">
        <v>9</v>
      </c>
      <c r="D108" s="10"/>
      <c r="E108" s="34">
        <f>E114+E115+E117+E113+E116+E111+E112</f>
        <v>348.73899999999998</v>
      </c>
      <c r="F108" s="34">
        <f t="shared" ref="F108" si="18">F114+F115+F117+F113+F116+F111+F112</f>
        <v>311.19151999999997</v>
      </c>
      <c r="G108" s="34">
        <f>G114+G115+G116+G117</f>
        <v>359.142</v>
      </c>
      <c r="H108" s="34">
        <f>H113+H114+H115+H117</f>
        <v>388</v>
      </c>
      <c r="I108" s="34">
        <v>300</v>
      </c>
      <c r="J108" s="34">
        <v>300</v>
      </c>
    </row>
    <row r="109" spans="1:10" ht="26.25" customHeight="1" x14ac:dyDescent="0.25">
      <c r="A109" s="97"/>
      <c r="B109" s="80"/>
      <c r="C109" s="11" t="s">
        <v>15</v>
      </c>
      <c r="D109" s="11"/>
      <c r="E109" s="34"/>
      <c r="F109" s="34"/>
      <c r="G109" s="34"/>
      <c r="H109" s="38"/>
      <c r="I109" s="38"/>
      <c r="J109" s="38"/>
    </row>
    <row r="110" spans="1:10" ht="19.5" customHeight="1" x14ac:dyDescent="0.25">
      <c r="A110" s="97"/>
      <c r="B110" s="80"/>
      <c r="C110" s="12" t="s">
        <v>10</v>
      </c>
      <c r="D110" s="12"/>
      <c r="E110" s="35"/>
      <c r="F110" s="35"/>
      <c r="G110" s="35"/>
      <c r="H110" s="38"/>
      <c r="I110" s="38"/>
      <c r="J110" s="38"/>
    </row>
    <row r="111" spans="1:10" ht="19.5" customHeight="1" x14ac:dyDescent="0.25">
      <c r="A111" s="97"/>
      <c r="B111" s="80"/>
      <c r="C111" s="30"/>
      <c r="D111" s="6" t="s">
        <v>68</v>
      </c>
      <c r="E111" s="34">
        <v>9</v>
      </c>
      <c r="F111" s="35"/>
      <c r="G111" s="35"/>
      <c r="H111" s="38"/>
      <c r="I111" s="38"/>
      <c r="J111" s="38"/>
    </row>
    <row r="112" spans="1:10" ht="19.5" customHeight="1" x14ac:dyDescent="0.25">
      <c r="A112" s="97"/>
      <c r="B112" s="80"/>
      <c r="C112" s="30"/>
      <c r="D112" s="6" t="s">
        <v>67</v>
      </c>
      <c r="E112" s="34">
        <v>6</v>
      </c>
      <c r="F112" s="35"/>
      <c r="G112" s="35"/>
      <c r="H112" s="38"/>
      <c r="I112" s="38"/>
      <c r="J112" s="38"/>
    </row>
    <row r="113" spans="1:10" ht="19.5" customHeight="1" x14ac:dyDescent="0.25">
      <c r="A113" s="97"/>
      <c r="B113" s="80"/>
      <c r="C113" s="30"/>
      <c r="D113" s="6" t="s">
        <v>151</v>
      </c>
      <c r="E113" s="34">
        <v>6</v>
      </c>
      <c r="F113" s="34">
        <v>22</v>
      </c>
      <c r="G113" s="34"/>
      <c r="H113" s="34">
        <v>6</v>
      </c>
      <c r="I113" s="34">
        <v>6</v>
      </c>
      <c r="J113" s="34">
        <v>6</v>
      </c>
    </row>
    <row r="114" spans="1:10" ht="20.25" customHeight="1" x14ac:dyDescent="0.25">
      <c r="A114" s="97"/>
      <c r="B114" s="80"/>
      <c r="C114" s="114" t="s">
        <v>11</v>
      </c>
      <c r="D114" s="6" t="s">
        <v>152</v>
      </c>
      <c r="E114" s="34">
        <v>18.8</v>
      </c>
      <c r="F114" s="34">
        <v>1.0306</v>
      </c>
      <c r="G114" s="34">
        <f>37.484-33.58</f>
        <v>3.9040000000000035</v>
      </c>
      <c r="H114" s="34">
        <v>6</v>
      </c>
      <c r="I114" s="34">
        <v>18</v>
      </c>
      <c r="J114" s="34">
        <v>18</v>
      </c>
    </row>
    <row r="115" spans="1:10" ht="19.5" customHeight="1" x14ac:dyDescent="0.25">
      <c r="A115" s="81"/>
      <c r="B115" s="85"/>
      <c r="C115" s="116"/>
      <c r="D115" s="6" t="s">
        <v>153</v>
      </c>
      <c r="E115" s="36">
        <v>140.298</v>
      </c>
      <c r="F115" s="36">
        <f>3.5+20.0566+46.48</f>
        <v>70.036599999999993</v>
      </c>
      <c r="G115" s="36">
        <v>168.256</v>
      </c>
      <c r="H115" s="36">
        <v>200</v>
      </c>
      <c r="I115" s="36">
        <v>140</v>
      </c>
      <c r="J115" s="36">
        <v>140</v>
      </c>
    </row>
    <row r="116" spans="1:10" ht="19.5" customHeight="1" x14ac:dyDescent="0.25">
      <c r="A116" s="81"/>
      <c r="B116" s="85"/>
      <c r="C116" s="116"/>
      <c r="D116" s="6" t="s">
        <v>154</v>
      </c>
      <c r="E116" s="36">
        <v>1.7</v>
      </c>
      <c r="F116" s="36">
        <v>15.71</v>
      </c>
      <c r="G116" s="36">
        <f>18.99</f>
        <v>18.989999999999998</v>
      </c>
      <c r="H116" s="36"/>
      <c r="I116" s="36"/>
      <c r="J116" s="36"/>
    </row>
    <row r="117" spans="1:10" ht="19.5" customHeight="1" x14ac:dyDescent="0.25">
      <c r="A117" s="82"/>
      <c r="B117" s="86"/>
      <c r="C117" s="117"/>
      <c r="D117" s="6" t="s">
        <v>155</v>
      </c>
      <c r="E117" s="36">
        <v>166.941</v>
      </c>
      <c r="F117" s="36">
        <f>124.00082+10.4625+1.453+49.35+4.458+12.69</f>
        <v>202.41432</v>
      </c>
      <c r="G117" s="36">
        <f>167.992</f>
        <v>167.99199999999999</v>
      </c>
      <c r="H117" s="36">
        <v>176</v>
      </c>
      <c r="I117" s="36">
        <v>142</v>
      </c>
      <c r="J117" s="36">
        <v>142</v>
      </c>
    </row>
    <row r="118" spans="1:10" x14ac:dyDescent="0.25">
      <c r="A118" s="98" t="s">
        <v>51</v>
      </c>
      <c r="B118" s="99" t="s">
        <v>52</v>
      </c>
      <c r="C118" s="18" t="s">
        <v>9</v>
      </c>
      <c r="D118" s="18"/>
      <c r="E118" s="43">
        <f>E121+E134+E178+E187+E190+E193+E196+E199+E202+E205</f>
        <v>21296.377</v>
      </c>
      <c r="F118" s="43">
        <f t="shared" ref="F118" si="19">F121+F134+F178+F187+F190+F193+F196+F199+F202+F205</f>
        <v>21721.928609999999</v>
      </c>
      <c r="G118" s="43">
        <f>G121+G134+G178+G187+G190+G193+G196+G202+G205+G199</f>
        <v>22059.018</v>
      </c>
      <c r="H118" s="43">
        <f t="shared" ref="H118:J118" si="20">H121+H134+H178+H187+H190+H193+H196+H202+H205+H199</f>
        <v>20380.900000000001</v>
      </c>
      <c r="I118" s="43">
        <f t="shared" si="20"/>
        <v>22213.1</v>
      </c>
      <c r="J118" s="43">
        <f t="shared" si="20"/>
        <v>22213.1</v>
      </c>
    </row>
    <row r="119" spans="1:10" x14ac:dyDescent="0.25">
      <c r="A119" s="98"/>
      <c r="B119" s="99"/>
      <c r="C119" s="6" t="s">
        <v>10</v>
      </c>
      <c r="D119" s="6"/>
      <c r="E119" s="72"/>
      <c r="F119" s="72"/>
      <c r="G119" s="72"/>
      <c r="H119" s="72"/>
      <c r="I119" s="72"/>
      <c r="J119" s="72"/>
    </row>
    <row r="120" spans="1:10" ht="45" x14ac:dyDescent="0.25">
      <c r="A120" s="98"/>
      <c r="B120" s="99"/>
      <c r="C120" s="6" t="s">
        <v>11</v>
      </c>
      <c r="D120" s="6"/>
      <c r="E120" s="37"/>
      <c r="F120" s="37"/>
      <c r="G120" s="37"/>
      <c r="H120" s="37"/>
      <c r="I120" s="37"/>
      <c r="J120" s="37"/>
    </row>
    <row r="121" spans="1:10" x14ac:dyDescent="0.25">
      <c r="A121" s="79" t="s">
        <v>32</v>
      </c>
      <c r="B121" s="90" t="s">
        <v>54</v>
      </c>
      <c r="C121" s="6" t="s">
        <v>9</v>
      </c>
      <c r="D121" s="21"/>
      <c r="E121" s="37">
        <f>E123+E124+E125+E126+E127+E128+E129+E131+E132+E133</f>
        <v>5975.42</v>
      </c>
      <c r="F121" s="37">
        <f>F123+F124+F125+F127+F128+F129+F130+F131+F133</f>
        <v>4918.44913</v>
      </c>
      <c r="G121" s="37">
        <f>G123+G124+G125+G127+G128+G129+G130+G131+G132+G133</f>
        <v>5573.7110000000011</v>
      </c>
      <c r="H121" s="37">
        <f t="shared" ref="H121:J121" si="21">H123+H124+H125+H127+H128+H129+H130+H133+H131</f>
        <v>5636</v>
      </c>
      <c r="I121" s="37">
        <f t="shared" si="21"/>
        <v>4814</v>
      </c>
      <c r="J121" s="37">
        <f t="shared" si="21"/>
        <v>4814</v>
      </c>
    </row>
    <row r="122" spans="1:10" x14ac:dyDescent="0.25">
      <c r="A122" s="80"/>
      <c r="B122" s="91"/>
      <c r="C122" s="6" t="s">
        <v>10</v>
      </c>
      <c r="D122" s="6"/>
      <c r="E122" s="37"/>
      <c r="F122" s="37"/>
      <c r="G122" s="37"/>
      <c r="H122" s="37"/>
      <c r="I122" s="37"/>
      <c r="J122" s="37"/>
    </row>
    <row r="123" spans="1:10" ht="37.5" customHeight="1" x14ac:dyDescent="0.25">
      <c r="A123" s="80"/>
      <c r="B123" s="91"/>
      <c r="C123" s="123" t="s">
        <v>11</v>
      </c>
      <c r="D123" s="9" t="s">
        <v>157</v>
      </c>
      <c r="E123" s="37">
        <v>3201.37</v>
      </c>
      <c r="F123" s="37">
        <v>3094.62</v>
      </c>
      <c r="G123" s="37">
        <v>2961.5920000000001</v>
      </c>
      <c r="H123" s="37">
        <v>2971</v>
      </c>
      <c r="I123" s="37">
        <v>3126</v>
      </c>
      <c r="J123" s="37">
        <v>3126</v>
      </c>
    </row>
    <row r="124" spans="1:10" ht="24.75" customHeight="1" x14ac:dyDescent="0.25">
      <c r="A124" s="81"/>
      <c r="B124" s="81"/>
      <c r="C124" s="124"/>
      <c r="D124" s="9" t="s">
        <v>158</v>
      </c>
      <c r="E124" s="37">
        <v>922.57100000000003</v>
      </c>
      <c r="F124" s="37">
        <v>879.41</v>
      </c>
      <c r="G124" s="37">
        <v>846.17600000000004</v>
      </c>
      <c r="H124" s="37">
        <v>852</v>
      </c>
      <c r="I124" s="37">
        <v>944</v>
      </c>
      <c r="J124" s="37">
        <v>944</v>
      </c>
    </row>
    <row r="125" spans="1:10" ht="21.75" customHeight="1" x14ac:dyDescent="0.25">
      <c r="A125" s="81"/>
      <c r="B125" s="81"/>
      <c r="C125" s="124"/>
      <c r="D125" s="9" t="s">
        <v>156</v>
      </c>
      <c r="E125" s="37">
        <v>99.367000000000004</v>
      </c>
      <c r="F125" s="37">
        <v>63.836570000000002</v>
      </c>
      <c r="G125" s="37">
        <v>67.894000000000005</v>
      </c>
      <c r="H125" s="37">
        <v>60</v>
      </c>
      <c r="I125" s="37">
        <v>99</v>
      </c>
      <c r="J125" s="37">
        <v>99</v>
      </c>
    </row>
    <row r="126" spans="1:10" ht="20.25" customHeight="1" x14ac:dyDescent="0.25">
      <c r="A126" s="81"/>
      <c r="B126" s="81"/>
      <c r="C126" s="124"/>
      <c r="D126" s="9" t="s">
        <v>55</v>
      </c>
      <c r="E126" s="37">
        <v>4</v>
      </c>
      <c r="F126" s="37"/>
      <c r="G126" s="37"/>
      <c r="H126" s="37"/>
      <c r="I126" s="37"/>
      <c r="J126" s="37"/>
    </row>
    <row r="127" spans="1:10" ht="17.25" customHeight="1" x14ac:dyDescent="0.25">
      <c r="A127" s="81"/>
      <c r="B127" s="81"/>
      <c r="C127" s="124"/>
      <c r="D127" s="9" t="s">
        <v>159</v>
      </c>
      <c r="E127" s="37">
        <v>190.256</v>
      </c>
      <c r="F127" s="37">
        <v>202.83655999999999</v>
      </c>
      <c r="G127" s="37">
        <v>220.14</v>
      </c>
      <c r="H127" s="37">
        <v>184</v>
      </c>
      <c r="I127" s="37">
        <v>200</v>
      </c>
      <c r="J127" s="37">
        <v>200</v>
      </c>
    </row>
    <row r="128" spans="1:10" ht="22.5" customHeight="1" x14ac:dyDescent="0.25">
      <c r="A128" s="81"/>
      <c r="B128" s="81"/>
      <c r="C128" s="124"/>
      <c r="D128" s="9" t="s">
        <v>160</v>
      </c>
      <c r="E128" s="37">
        <v>866.9</v>
      </c>
      <c r="F128" s="37">
        <v>105.21823999999999</v>
      </c>
      <c r="G128" s="37">
        <v>168.482</v>
      </c>
      <c r="H128" s="37">
        <v>151</v>
      </c>
      <c r="I128" s="37">
        <v>10</v>
      </c>
      <c r="J128" s="37">
        <v>10</v>
      </c>
    </row>
    <row r="129" spans="1:10" ht="15" customHeight="1" x14ac:dyDescent="0.25">
      <c r="A129" s="81"/>
      <c r="B129" s="81"/>
      <c r="C129" s="124"/>
      <c r="D129" s="9" t="s">
        <v>161</v>
      </c>
      <c r="E129" s="37">
        <v>513.34</v>
      </c>
      <c r="F129" s="37">
        <v>359.38364000000001</v>
      </c>
      <c r="G129" s="37">
        <v>935.90700000000004</v>
      </c>
      <c r="H129" s="37">
        <v>1164</v>
      </c>
      <c r="I129" s="37">
        <v>390</v>
      </c>
      <c r="J129" s="37">
        <v>390</v>
      </c>
    </row>
    <row r="130" spans="1:10" ht="15" customHeight="1" x14ac:dyDescent="0.25">
      <c r="A130" s="81"/>
      <c r="B130" s="81"/>
      <c r="C130" s="124"/>
      <c r="D130" s="9" t="s">
        <v>162</v>
      </c>
      <c r="E130" s="37"/>
      <c r="F130" s="37">
        <v>128.29</v>
      </c>
      <c r="G130" s="37">
        <f>159.263-G131</f>
        <v>146.12100000000001</v>
      </c>
      <c r="H130" s="37"/>
      <c r="I130" s="37">
        <v>5</v>
      </c>
      <c r="J130" s="37">
        <v>5</v>
      </c>
    </row>
    <row r="131" spans="1:10" ht="24" customHeight="1" x14ac:dyDescent="0.25">
      <c r="A131" s="81"/>
      <c r="B131" s="81"/>
      <c r="C131" s="124"/>
      <c r="D131" s="9" t="s">
        <v>163</v>
      </c>
      <c r="E131" s="37">
        <v>71.326999999999998</v>
      </c>
      <c r="F131" s="37">
        <v>3.1</v>
      </c>
      <c r="G131" s="37">
        <f>10.912+2.23</f>
        <v>13.142000000000001</v>
      </c>
      <c r="H131" s="37">
        <v>4</v>
      </c>
      <c r="I131" s="37">
        <v>6</v>
      </c>
      <c r="J131" s="37">
        <v>6</v>
      </c>
    </row>
    <row r="132" spans="1:10" ht="24" customHeight="1" x14ac:dyDescent="0.25">
      <c r="A132" s="81"/>
      <c r="B132" s="81"/>
      <c r="C132" s="124"/>
      <c r="D132" s="9" t="s">
        <v>164</v>
      </c>
      <c r="E132" s="37">
        <v>4.1900000000000004</v>
      </c>
      <c r="F132" s="37"/>
      <c r="G132" s="37">
        <v>60.622</v>
      </c>
      <c r="H132" s="37"/>
      <c r="I132" s="37"/>
      <c r="J132" s="37"/>
    </row>
    <row r="133" spans="1:10" ht="21.75" customHeight="1" x14ac:dyDescent="0.25">
      <c r="A133" s="82"/>
      <c r="B133" s="82"/>
      <c r="C133" s="125"/>
      <c r="D133" s="9" t="s">
        <v>165</v>
      </c>
      <c r="E133" s="37">
        <v>102.099</v>
      </c>
      <c r="F133" s="37">
        <v>81.75412</v>
      </c>
      <c r="G133" s="37">
        <v>153.63499999999999</v>
      </c>
      <c r="H133" s="37">
        <v>250</v>
      </c>
      <c r="I133" s="37">
        <v>34</v>
      </c>
      <c r="J133" s="37">
        <v>34</v>
      </c>
    </row>
    <row r="134" spans="1:10" x14ac:dyDescent="0.25">
      <c r="A134" s="92" t="s">
        <v>33</v>
      </c>
      <c r="B134" s="94" t="s">
        <v>27</v>
      </c>
      <c r="C134" s="6" t="s">
        <v>9</v>
      </c>
      <c r="D134" s="18"/>
      <c r="E134" s="43">
        <f>E136+E177</f>
        <v>1601.2760000000001</v>
      </c>
      <c r="F134" s="43">
        <f t="shared" ref="F134:J134" si="22">F136+F177</f>
        <v>1588.70027</v>
      </c>
      <c r="G134" s="43">
        <f t="shared" si="22"/>
        <v>1500.2909999999999</v>
      </c>
      <c r="H134" s="43">
        <f t="shared" si="22"/>
        <v>1564</v>
      </c>
      <c r="I134" s="43">
        <f t="shared" si="22"/>
        <v>1534</v>
      </c>
      <c r="J134" s="43">
        <f t="shared" si="22"/>
        <v>1534</v>
      </c>
    </row>
    <row r="135" spans="1:10" x14ac:dyDescent="0.25">
      <c r="A135" s="93"/>
      <c r="B135" s="95"/>
      <c r="C135" s="6" t="s">
        <v>10</v>
      </c>
      <c r="D135" s="6"/>
      <c r="E135" s="56"/>
      <c r="F135" s="56"/>
      <c r="G135" s="56"/>
      <c r="H135" s="57"/>
      <c r="I135" s="57"/>
      <c r="J135" s="57"/>
    </row>
    <row r="136" spans="1:10" ht="30" customHeight="1" x14ac:dyDescent="0.25">
      <c r="A136" s="93"/>
      <c r="B136" s="95"/>
      <c r="C136" s="114" t="s">
        <v>11</v>
      </c>
      <c r="D136" s="9" t="s">
        <v>166</v>
      </c>
      <c r="E136" s="58">
        <v>1210.211</v>
      </c>
      <c r="F136" s="58">
        <v>1195.46046</v>
      </c>
      <c r="G136" s="58">
        <v>1151.5619999999999</v>
      </c>
      <c r="H136" s="58">
        <v>1215</v>
      </c>
      <c r="I136" s="58">
        <v>1178</v>
      </c>
      <c r="J136" s="58">
        <v>1178</v>
      </c>
    </row>
    <row r="137" spans="1:10" ht="15" hidden="1" customHeight="1" x14ac:dyDescent="0.25">
      <c r="A137" s="81"/>
      <c r="B137" s="81"/>
      <c r="C137" s="116"/>
      <c r="D137" s="9" t="s">
        <v>34</v>
      </c>
      <c r="E137" s="73">
        <f>E139</f>
        <v>13432</v>
      </c>
      <c r="F137" s="73">
        <f t="shared" ref="F137:J137" si="23">F139</f>
        <v>13432</v>
      </c>
      <c r="G137" s="73">
        <f t="shared" si="23"/>
        <v>13432</v>
      </c>
      <c r="H137" s="73">
        <f t="shared" si="23"/>
        <v>13432</v>
      </c>
      <c r="I137" s="73">
        <f t="shared" si="23"/>
        <v>13432</v>
      </c>
      <c r="J137" s="73">
        <f t="shared" si="23"/>
        <v>13432</v>
      </c>
    </row>
    <row r="138" spans="1:10" ht="30" hidden="1" customHeight="1" x14ac:dyDescent="0.25">
      <c r="A138" s="81"/>
      <c r="B138" s="81"/>
      <c r="C138" s="116"/>
      <c r="D138" s="9" t="s">
        <v>28</v>
      </c>
      <c r="E138" s="59"/>
      <c r="F138" s="59"/>
      <c r="G138" s="59"/>
      <c r="H138" s="59"/>
      <c r="I138" s="59"/>
      <c r="J138" s="59"/>
    </row>
    <row r="139" spans="1:10" ht="15" hidden="1" customHeight="1" x14ac:dyDescent="0.25">
      <c r="A139" s="81"/>
      <c r="B139" s="81"/>
      <c r="C139" s="116"/>
      <c r="D139" s="9" t="s">
        <v>34</v>
      </c>
      <c r="E139" s="59">
        <f>E141</f>
        <v>13432</v>
      </c>
      <c r="F139" s="59">
        <f t="shared" ref="F139:J139" si="24">F141</f>
        <v>13432</v>
      </c>
      <c r="G139" s="59">
        <f t="shared" si="24"/>
        <v>13432</v>
      </c>
      <c r="H139" s="59">
        <f t="shared" si="24"/>
        <v>13432</v>
      </c>
      <c r="I139" s="59">
        <f t="shared" si="24"/>
        <v>13432</v>
      </c>
      <c r="J139" s="59">
        <f t="shared" si="24"/>
        <v>13432</v>
      </c>
    </row>
    <row r="140" spans="1:10" ht="30" hidden="1" customHeight="1" x14ac:dyDescent="0.25">
      <c r="A140" s="81"/>
      <c r="B140" s="81"/>
      <c r="C140" s="116"/>
      <c r="D140" s="9" t="s">
        <v>28</v>
      </c>
      <c r="E140" s="74"/>
      <c r="F140" s="74"/>
      <c r="G140" s="74"/>
      <c r="H140" s="74"/>
      <c r="I140" s="74"/>
      <c r="J140" s="74"/>
    </row>
    <row r="141" spans="1:10" ht="60" hidden="1" customHeight="1" x14ac:dyDescent="0.25">
      <c r="A141" s="81"/>
      <c r="B141" s="81"/>
      <c r="C141" s="116"/>
      <c r="D141" s="9" t="s">
        <v>34</v>
      </c>
      <c r="E141" s="59">
        <v>13432</v>
      </c>
      <c r="F141" s="59">
        <v>13432</v>
      </c>
      <c r="G141" s="59">
        <v>13432</v>
      </c>
      <c r="H141" s="59">
        <v>13432</v>
      </c>
      <c r="I141" s="59">
        <v>13432</v>
      </c>
      <c r="J141" s="59">
        <v>13432</v>
      </c>
    </row>
    <row r="142" spans="1:10" ht="15" hidden="1" customHeight="1" x14ac:dyDescent="0.25">
      <c r="A142" s="81"/>
      <c r="B142" s="81"/>
      <c r="C142" s="116"/>
      <c r="D142" s="9" t="s">
        <v>28</v>
      </c>
      <c r="E142" s="73">
        <f t="shared" ref="E142:J142" si="25">E144</f>
        <v>4109</v>
      </c>
      <c r="F142" s="73">
        <f t="shared" si="25"/>
        <v>4109</v>
      </c>
      <c r="G142" s="73">
        <f t="shared" si="25"/>
        <v>4109</v>
      </c>
      <c r="H142" s="73">
        <f t="shared" si="25"/>
        <v>4109</v>
      </c>
      <c r="I142" s="73">
        <f t="shared" si="25"/>
        <v>4109</v>
      </c>
      <c r="J142" s="73">
        <f t="shared" si="25"/>
        <v>4109</v>
      </c>
    </row>
    <row r="143" spans="1:10" ht="30" hidden="1" customHeight="1" x14ac:dyDescent="0.25">
      <c r="A143" s="81"/>
      <c r="B143" s="81"/>
      <c r="C143" s="116"/>
      <c r="D143" s="9" t="s">
        <v>34</v>
      </c>
      <c r="E143" s="59"/>
      <c r="F143" s="59"/>
      <c r="G143" s="59"/>
      <c r="H143" s="59"/>
      <c r="I143" s="59"/>
      <c r="J143" s="59"/>
    </row>
    <row r="144" spans="1:10" ht="15" hidden="1" customHeight="1" x14ac:dyDescent="0.25">
      <c r="A144" s="81"/>
      <c r="B144" s="81"/>
      <c r="C144" s="116"/>
      <c r="D144" s="9" t="s">
        <v>28</v>
      </c>
      <c r="E144" s="59">
        <v>4109</v>
      </c>
      <c r="F144" s="59">
        <v>4109</v>
      </c>
      <c r="G144" s="59">
        <v>4109</v>
      </c>
      <c r="H144" s="59">
        <v>4109</v>
      </c>
      <c r="I144" s="59">
        <v>4109</v>
      </c>
      <c r="J144" s="59">
        <v>4109</v>
      </c>
    </row>
    <row r="145" spans="1:10" ht="30" hidden="1" customHeight="1" x14ac:dyDescent="0.25">
      <c r="A145" s="81"/>
      <c r="B145" s="81"/>
      <c r="C145" s="116"/>
      <c r="D145" s="9" t="s">
        <v>34</v>
      </c>
      <c r="E145" s="74"/>
      <c r="F145" s="74"/>
      <c r="G145" s="74"/>
      <c r="H145" s="74"/>
      <c r="I145" s="74"/>
      <c r="J145" s="74"/>
    </row>
    <row r="146" spans="1:10" ht="60" hidden="1" customHeight="1" x14ac:dyDescent="0.25">
      <c r="A146" s="81"/>
      <c r="B146" s="81"/>
      <c r="C146" s="116"/>
      <c r="D146" s="9" t="s">
        <v>28</v>
      </c>
      <c r="E146" s="59">
        <v>4109</v>
      </c>
      <c r="F146" s="59">
        <v>4109</v>
      </c>
      <c r="G146" s="59">
        <v>4109</v>
      </c>
      <c r="H146" s="59">
        <v>4109</v>
      </c>
      <c r="I146" s="59">
        <v>4109</v>
      </c>
      <c r="J146" s="59">
        <v>4109</v>
      </c>
    </row>
    <row r="147" spans="1:10" ht="0.75" hidden="1" customHeight="1" x14ac:dyDescent="0.25">
      <c r="A147" s="81"/>
      <c r="B147" s="81"/>
      <c r="C147" s="116"/>
      <c r="D147" s="9" t="s">
        <v>34</v>
      </c>
      <c r="E147" s="73">
        <f>E149</f>
        <v>3865</v>
      </c>
      <c r="F147" s="73">
        <f t="shared" ref="F147:J147" si="26">F149</f>
        <v>3865</v>
      </c>
      <c r="G147" s="73">
        <f t="shared" si="26"/>
        <v>3865</v>
      </c>
      <c r="H147" s="73">
        <f t="shared" si="26"/>
        <v>3865</v>
      </c>
      <c r="I147" s="73">
        <f t="shared" si="26"/>
        <v>3865</v>
      </c>
      <c r="J147" s="73">
        <f t="shared" si="26"/>
        <v>3865</v>
      </c>
    </row>
    <row r="148" spans="1:10" ht="30" hidden="1" customHeight="1" x14ac:dyDescent="0.25">
      <c r="A148" s="81"/>
      <c r="B148" s="81"/>
      <c r="C148" s="116"/>
      <c r="D148" s="9" t="s">
        <v>28</v>
      </c>
      <c r="E148" s="59"/>
      <c r="F148" s="59"/>
      <c r="G148" s="59"/>
      <c r="H148" s="59"/>
      <c r="I148" s="59"/>
      <c r="J148" s="59"/>
    </row>
    <row r="149" spans="1:10" ht="15" hidden="1" customHeight="1" x14ac:dyDescent="0.25">
      <c r="A149" s="81"/>
      <c r="B149" s="81"/>
      <c r="C149" s="116"/>
      <c r="D149" s="9" t="s">
        <v>34</v>
      </c>
      <c r="E149" s="59">
        <v>3865</v>
      </c>
      <c r="F149" s="59">
        <v>3865</v>
      </c>
      <c r="G149" s="59">
        <v>3865</v>
      </c>
      <c r="H149" s="59">
        <v>3865</v>
      </c>
      <c r="I149" s="59">
        <v>3865</v>
      </c>
      <c r="J149" s="59">
        <v>3865</v>
      </c>
    </row>
    <row r="150" spans="1:10" ht="30" hidden="1" customHeight="1" x14ac:dyDescent="0.25">
      <c r="A150" s="81"/>
      <c r="B150" s="81"/>
      <c r="C150" s="116"/>
      <c r="D150" s="9" t="s">
        <v>28</v>
      </c>
      <c r="E150" s="74"/>
      <c r="F150" s="74"/>
      <c r="G150" s="74"/>
      <c r="H150" s="74"/>
      <c r="I150" s="74"/>
      <c r="J150" s="74"/>
    </row>
    <row r="151" spans="1:10" ht="62.25" hidden="1" customHeight="1" x14ac:dyDescent="0.25">
      <c r="A151" s="81"/>
      <c r="B151" s="81"/>
      <c r="C151" s="116"/>
      <c r="D151" s="9" t="s">
        <v>34</v>
      </c>
      <c r="E151" s="59">
        <v>3865</v>
      </c>
      <c r="F151" s="59">
        <v>3865</v>
      </c>
      <c r="G151" s="59">
        <v>3865</v>
      </c>
      <c r="H151" s="59">
        <v>3865</v>
      </c>
      <c r="I151" s="59">
        <v>3865</v>
      </c>
      <c r="J151" s="59">
        <v>3865</v>
      </c>
    </row>
    <row r="152" spans="1:10" ht="15" hidden="1" customHeight="1" x14ac:dyDescent="0.25">
      <c r="A152" s="81"/>
      <c r="B152" s="81"/>
      <c r="C152" s="116"/>
      <c r="D152" s="9" t="s">
        <v>28</v>
      </c>
      <c r="E152" s="59">
        <v>42</v>
      </c>
      <c r="F152" s="59">
        <v>42</v>
      </c>
      <c r="G152" s="59">
        <v>42</v>
      </c>
      <c r="H152" s="59">
        <v>42</v>
      </c>
      <c r="I152" s="59">
        <v>42</v>
      </c>
      <c r="J152" s="59">
        <v>42</v>
      </c>
    </row>
    <row r="153" spans="1:10" ht="30" hidden="1" customHeight="1" x14ac:dyDescent="0.25">
      <c r="A153" s="81"/>
      <c r="B153" s="81"/>
      <c r="C153" s="116"/>
      <c r="D153" s="9" t="s">
        <v>34</v>
      </c>
      <c r="E153" s="59"/>
      <c r="F153" s="59"/>
      <c r="G153" s="59"/>
      <c r="H153" s="59"/>
      <c r="I153" s="59"/>
      <c r="J153" s="59"/>
    </row>
    <row r="154" spans="1:10" ht="15" hidden="1" customHeight="1" x14ac:dyDescent="0.25">
      <c r="A154" s="81"/>
      <c r="B154" s="81"/>
      <c r="C154" s="116"/>
      <c r="D154" s="9" t="s">
        <v>28</v>
      </c>
      <c r="E154" s="59">
        <v>42</v>
      </c>
      <c r="F154" s="59">
        <v>42</v>
      </c>
      <c r="G154" s="59">
        <v>42</v>
      </c>
      <c r="H154" s="59">
        <v>42</v>
      </c>
      <c r="I154" s="59">
        <v>42</v>
      </c>
      <c r="J154" s="59">
        <v>42</v>
      </c>
    </row>
    <row r="155" spans="1:10" ht="30" hidden="1" customHeight="1" x14ac:dyDescent="0.25">
      <c r="A155" s="81"/>
      <c r="B155" s="81"/>
      <c r="C155" s="116"/>
      <c r="D155" s="9" t="s">
        <v>34</v>
      </c>
      <c r="E155" s="74"/>
      <c r="F155" s="74"/>
      <c r="G155" s="74"/>
      <c r="H155" s="74"/>
      <c r="I155" s="74"/>
      <c r="J155" s="74"/>
    </row>
    <row r="156" spans="1:10" ht="60" hidden="1" customHeight="1" x14ac:dyDescent="0.25">
      <c r="A156" s="81"/>
      <c r="B156" s="81"/>
      <c r="C156" s="116"/>
      <c r="D156" s="9" t="s">
        <v>28</v>
      </c>
      <c r="E156" s="59">
        <v>42</v>
      </c>
      <c r="F156" s="59">
        <v>42</v>
      </c>
      <c r="G156" s="59">
        <v>42</v>
      </c>
      <c r="H156" s="59">
        <v>42</v>
      </c>
      <c r="I156" s="59">
        <v>42</v>
      </c>
      <c r="J156" s="59">
        <v>42</v>
      </c>
    </row>
    <row r="157" spans="1:10" ht="3.75" hidden="1" customHeight="1" x14ac:dyDescent="0.25">
      <c r="A157" s="81"/>
      <c r="B157" s="81"/>
      <c r="C157" s="116"/>
      <c r="D157" s="9" t="s">
        <v>34</v>
      </c>
      <c r="E157" s="59">
        <f>E159</f>
        <v>4996</v>
      </c>
      <c r="F157" s="59">
        <f t="shared" ref="F157:J157" si="27">F159</f>
        <v>4996</v>
      </c>
      <c r="G157" s="59">
        <f t="shared" si="27"/>
        <v>4996</v>
      </c>
      <c r="H157" s="59">
        <f t="shared" si="27"/>
        <v>4996</v>
      </c>
      <c r="I157" s="59">
        <f t="shared" si="27"/>
        <v>4996</v>
      </c>
      <c r="J157" s="59">
        <f t="shared" si="27"/>
        <v>4996</v>
      </c>
    </row>
    <row r="158" spans="1:10" ht="30" hidden="1" customHeight="1" x14ac:dyDescent="0.25">
      <c r="A158" s="81"/>
      <c r="B158" s="81"/>
      <c r="C158" s="116"/>
      <c r="D158" s="9" t="s">
        <v>28</v>
      </c>
      <c r="E158" s="59"/>
      <c r="F158" s="59"/>
      <c r="G158" s="59"/>
      <c r="H158" s="59"/>
      <c r="I158" s="59"/>
      <c r="J158" s="59"/>
    </row>
    <row r="159" spans="1:10" ht="15" hidden="1" customHeight="1" x14ac:dyDescent="0.25">
      <c r="A159" s="81"/>
      <c r="B159" s="81"/>
      <c r="C159" s="116"/>
      <c r="D159" s="9" t="s">
        <v>34</v>
      </c>
      <c r="E159" s="59">
        <v>4996</v>
      </c>
      <c r="F159" s="59">
        <v>4996</v>
      </c>
      <c r="G159" s="59">
        <v>4996</v>
      </c>
      <c r="H159" s="59">
        <v>4996</v>
      </c>
      <c r="I159" s="59">
        <v>4996</v>
      </c>
      <c r="J159" s="59">
        <v>4996</v>
      </c>
    </row>
    <row r="160" spans="1:10" ht="30" hidden="1" customHeight="1" x14ac:dyDescent="0.25">
      <c r="A160" s="81"/>
      <c r="B160" s="81"/>
      <c r="C160" s="116"/>
      <c r="D160" s="9" t="s">
        <v>28</v>
      </c>
      <c r="E160" s="74"/>
      <c r="F160" s="74"/>
      <c r="G160" s="74"/>
      <c r="H160" s="74"/>
      <c r="I160" s="74"/>
      <c r="J160" s="74"/>
    </row>
    <row r="161" spans="1:10" ht="60" hidden="1" customHeight="1" x14ac:dyDescent="0.25">
      <c r="A161" s="81"/>
      <c r="B161" s="81"/>
      <c r="C161" s="116"/>
      <c r="D161" s="9" t="s">
        <v>34</v>
      </c>
      <c r="E161" s="59">
        <f>E159</f>
        <v>4996</v>
      </c>
      <c r="F161" s="59">
        <f t="shared" ref="F161:J161" si="28">F159</f>
        <v>4996</v>
      </c>
      <c r="G161" s="59">
        <f t="shared" si="28"/>
        <v>4996</v>
      </c>
      <c r="H161" s="59">
        <f t="shared" si="28"/>
        <v>4996</v>
      </c>
      <c r="I161" s="59">
        <f t="shared" si="28"/>
        <v>4996</v>
      </c>
      <c r="J161" s="59">
        <f t="shared" si="28"/>
        <v>4996</v>
      </c>
    </row>
    <row r="162" spans="1:10" ht="15" hidden="1" customHeight="1" x14ac:dyDescent="0.25">
      <c r="A162" s="81"/>
      <c r="B162" s="81"/>
      <c r="C162" s="116"/>
      <c r="D162" s="9" t="s">
        <v>28</v>
      </c>
      <c r="E162" s="59">
        <f>E164</f>
        <v>288.60000000000002</v>
      </c>
      <c r="F162" s="59">
        <f t="shared" ref="F162:J162" si="29">F164</f>
        <v>288.60000000000002</v>
      </c>
      <c r="G162" s="59">
        <f t="shared" si="29"/>
        <v>288.60000000000002</v>
      </c>
      <c r="H162" s="59">
        <f t="shared" si="29"/>
        <v>288.60000000000002</v>
      </c>
      <c r="I162" s="59">
        <f t="shared" si="29"/>
        <v>288.60000000000002</v>
      </c>
      <c r="J162" s="59">
        <f t="shared" si="29"/>
        <v>288.60000000000002</v>
      </c>
    </row>
    <row r="163" spans="1:10" ht="30" hidden="1" customHeight="1" x14ac:dyDescent="0.25">
      <c r="A163" s="81"/>
      <c r="B163" s="81"/>
      <c r="C163" s="116"/>
      <c r="D163" s="9" t="s">
        <v>34</v>
      </c>
      <c r="E163" s="59"/>
      <c r="F163" s="59"/>
      <c r="G163" s="59"/>
      <c r="H163" s="59"/>
      <c r="I163" s="59"/>
      <c r="J163" s="59"/>
    </row>
    <row r="164" spans="1:10" ht="15" hidden="1" customHeight="1" x14ac:dyDescent="0.25">
      <c r="A164" s="81"/>
      <c r="B164" s="81"/>
      <c r="C164" s="116"/>
      <c r="D164" s="9" t="s">
        <v>28</v>
      </c>
      <c r="E164" s="59">
        <f>E166</f>
        <v>288.60000000000002</v>
      </c>
      <c r="F164" s="59">
        <f t="shared" ref="F164:J164" si="30">F166</f>
        <v>288.60000000000002</v>
      </c>
      <c r="G164" s="59">
        <f t="shared" si="30"/>
        <v>288.60000000000002</v>
      </c>
      <c r="H164" s="59">
        <f t="shared" si="30"/>
        <v>288.60000000000002</v>
      </c>
      <c r="I164" s="59">
        <f t="shared" si="30"/>
        <v>288.60000000000002</v>
      </c>
      <c r="J164" s="59">
        <f t="shared" si="30"/>
        <v>288.60000000000002</v>
      </c>
    </row>
    <row r="165" spans="1:10" ht="30" hidden="1" customHeight="1" x14ac:dyDescent="0.25">
      <c r="A165" s="81"/>
      <c r="B165" s="81"/>
      <c r="C165" s="116"/>
      <c r="D165" s="9" t="s">
        <v>34</v>
      </c>
      <c r="E165" s="59"/>
      <c r="F165" s="59"/>
      <c r="G165" s="59"/>
      <c r="H165" s="59"/>
      <c r="I165" s="59"/>
      <c r="J165" s="59"/>
    </row>
    <row r="166" spans="1:10" ht="9.75" hidden="1" customHeight="1" x14ac:dyDescent="0.25">
      <c r="A166" s="81"/>
      <c r="B166" s="81"/>
      <c r="C166" s="116"/>
      <c r="D166" s="9" t="s">
        <v>28</v>
      </c>
      <c r="E166" s="59">
        <v>288.60000000000002</v>
      </c>
      <c r="F166" s="59">
        <v>288.60000000000002</v>
      </c>
      <c r="G166" s="59">
        <v>288.60000000000002</v>
      </c>
      <c r="H166" s="59">
        <v>288.60000000000002</v>
      </c>
      <c r="I166" s="59">
        <v>288.60000000000002</v>
      </c>
      <c r="J166" s="59">
        <v>288.60000000000002</v>
      </c>
    </row>
    <row r="167" spans="1:10" ht="23.25" hidden="1" customHeight="1" x14ac:dyDescent="0.25">
      <c r="A167" s="81"/>
      <c r="B167" s="81"/>
      <c r="C167" s="116"/>
      <c r="D167" s="9" t="s">
        <v>34</v>
      </c>
      <c r="E167" s="59">
        <v>420</v>
      </c>
      <c r="F167" s="59">
        <v>420</v>
      </c>
      <c r="G167" s="59">
        <v>420</v>
      </c>
      <c r="H167" s="59">
        <v>420</v>
      </c>
      <c r="I167" s="59">
        <v>420</v>
      </c>
      <c r="J167" s="59">
        <v>420</v>
      </c>
    </row>
    <row r="168" spans="1:10" ht="30" hidden="1" customHeight="1" x14ac:dyDescent="0.25">
      <c r="A168" s="81"/>
      <c r="B168" s="81"/>
      <c r="C168" s="116"/>
      <c r="D168" s="9" t="s">
        <v>28</v>
      </c>
      <c r="E168" s="59"/>
      <c r="F168" s="59"/>
      <c r="G168" s="59"/>
      <c r="H168" s="59"/>
      <c r="I168" s="59"/>
      <c r="J168" s="59"/>
    </row>
    <row r="169" spans="1:10" ht="36.75" hidden="1" customHeight="1" x14ac:dyDescent="0.25">
      <c r="A169" s="81"/>
      <c r="B169" s="81"/>
      <c r="C169" s="116"/>
      <c r="D169" s="9" t="s">
        <v>34</v>
      </c>
      <c r="E169" s="59">
        <v>420</v>
      </c>
      <c r="F169" s="59">
        <v>420</v>
      </c>
      <c r="G169" s="59">
        <v>420</v>
      </c>
      <c r="H169" s="59">
        <v>420</v>
      </c>
      <c r="I169" s="59">
        <v>420</v>
      </c>
      <c r="J169" s="59">
        <v>420</v>
      </c>
    </row>
    <row r="170" spans="1:10" ht="30.75" hidden="1" customHeight="1" x14ac:dyDescent="0.25">
      <c r="A170" s="81"/>
      <c r="B170" s="81"/>
      <c r="C170" s="116"/>
      <c r="D170" s="9" t="s">
        <v>28</v>
      </c>
      <c r="E170" s="74"/>
      <c r="F170" s="74"/>
      <c r="G170" s="74"/>
      <c r="H170" s="74"/>
      <c r="I170" s="74"/>
      <c r="J170" s="74"/>
    </row>
    <row r="171" spans="1:10" ht="48.75" hidden="1" customHeight="1" x14ac:dyDescent="0.25">
      <c r="A171" s="81"/>
      <c r="B171" s="81"/>
      <c r="C171" s="116"/>
      <c r="D171" s="9" t="s">
        <v>34</v>
      </c>
      <c r="E171" s="59">
        <v>420</v>
      </c>
      <c r="F171" s="59">
        <v>420</v>
      </c>
      <c r="G171" s="59">
        <v>420</v>
      </c>
      <c r="H171" s="59">
        <v>420</v>
      </c>
      <c r="I171" s="59">
        <v>420</v>
      </c>
      <c r="J171" s="59">
        <v>420</v>
      </c>
    </row>
    <row r="172" spans="1:10" ht="30" hidden="1" customHeight="1" x14ac:dyDescent="0.25">
      <c r="A172" s="81"/>
      <c r="B172" s="81"/>
      <c r="C172" s="116"/>
      <c r="D172" s="9" t="s">
        <v>28</v>
      </c>
      <c r="E172" s="59">
        <v>797</v>
      </c>
      <c r="F172" s="59">
        <v>797</v>
      </c>
      <c r="G172" s="59">
        <v>797</v>
      </c>
      <c r="H172" s="59">
        <v>797</v>
      </c>
      <c r="I172" s="59">
        <v>797</v>
      </c>
      <c r="J172" s="59">
        <v>797</v>
      </c>
    </row>
    <row r="173" spans="1:10" ht="14.25" hidden="1" customHeight="1" x14ac:dyDescent="0.25">
      <c r="A173" s="81"/>
      <c r="B173" s="81"/>
      <c r="C173" s="116"/>
      <c r="D173" s="9" t="s">
        <v>34</v>
      </c>
      <c r="E173" s="59"/>
      <c r="F173" s="59"/>
      <c r="G173" s="59"/>
      <c r="H173" s="59"/>
      <c r="I173" s="59"/>
      <c r="J173" s="59"/>
    </row>
    <row r="174" spans="1:10" ht="17.25" hidden="1" customHeight="1" x14ac:dyDescent="0.25">
      <c r="A174" s="81"/>
      <c r="B174" s="81"/>
      <c r="C174" s="116"/>
      <c r="D174" s="9" t="s">
        <v>28</v>
      </c>
      <c r="E174" s="59">
        <v>797</v>
      </c>
      <c r="F174" s="59">
        <v>797</v>
      </c>
      <c r="G174" s="59">
        <v>797</v>
      </c>
      <c r="H174" s="59">
        <v>797</v>
      </c>
      <c r="I174" s="59">
        <v>797</v>
      </c>
      <c r="J174" s="59">
        <v>797</v>
      </c>
    </row>
    <row r="175" spans="1:10" ht="36" hidden="1" customHeight="1" x14ac:dyDescent="0.25">
      <c r="A175" s="81"/>
      <c r="B175" s="81"/>
      <c r="C175" s="116"/>
      <c r="D175" s="9" t="s">
        <v>34</v>
      </c>
      <c r="E175" s="74"/>
      <c r="F175" s="74"/>
      <c r="G175" s="74"/>
      <c r="H175" s="74"/>
      <c r="I175" s="74"/>
      <c r="J175" s="74"/>
    </row>
    <row r="176" spans="1:10" ht="9.75" hidden="1" customHeight="1" x14ac:dyDescent="0.25">
      <c r="A176" s="81"/>
      <c r="B176" s="81"/>
      <c r="C176" s="116"/>
      <c r="D176" s="9" t="s">
        <v>28</v>
      </c>
      <c r="E176" s="59">
        <v>797</v>
      </c>
      <c r="F176" s="59">
        <v>797</v>
      </c>
      <c r="G176" s="59">
        <v>797</v>
      </c>
      <c r="H176" s="59">
        <v>797</v>
      </c>
      <c r="I176" s="59">
        <v>797</v>
      </c>
      <c r="J176" s="59">
        <v>797</v>
      </c>
    </row>
    <row r="177" spans="1:10" x14ac:dyDescent="0.25">
      <c r="A177" s="82"/>
      <c r="B177" s="82"/>
      <c r="C177" s="117"/>
      <c r="D177" s="9" t="s">
        <v>167</v>
      </c>
      <c r="E177" s="59">
        <v>391.065</v>
      </c>
      <c r="F177" s="59">
        <v>393.23980999999998</v>
      </c>
      <c r="G177" s="59">
        <v>348.72899999999998</v>
      </c>
      <c r="H177" s="59">
        <v>349</v>
      </c>
      <c r="I177" s="59">
        <v>356</v>
      </c>
      <c r="J177" s="59">
        <v>356</v>
      </c>
    </row>
    <row r="178" spans="1:10" x14ac:dyDescent="0.25">
      <c r="A178" s="92" t="s">
        <v>36</v>
      </c>
      <c r="B178" s="94" t="s">
        <v>56</v>
      </c>
      <c r="C178" s="6" t="s">
        <v>9</v>
      </c>
      <c r="D178" s="14"/>
      <c r="E178" s="52">
        <f>E180+E181+E182+E183+E184+E185+E186</f>
        <v>796.99900000000002</v>
      </c>
      <c r="F178" s="52">
        <f t="shared" ref="F178:J178" si="31">F180+F181+F182+F183+F184+F185+F186</f>
        <v>797</v>
      </c>
      <c r="G178" s="52">
        <f>G180+G181+G182+G183+G184+G185+G186</f>
        <v>786</v>
      </c>
      <c r="H178" s="52">
        <f t="shared" si="31"/>
        <v>773</v>
      </c>
      <c r="I178" s="52">
        <f t="shared" si="31"/>
        <v>822</v>
      </c>
      <c r="J178" s="52">
        <f t="shared" si="31"/>
        <v>822</v>
      </c>
    </row>
    <row r="179" spans="1:10" x14ac:dyDescent="0.25">
      <c r="A179" s="81"/>
      <c r="B179" s="81"/>
      <c r="C179" s="6" t="s">
        <v>10</v>
      </c>
      <c r="D179" s="6"/>
      <c r="E179" s="56"/>
      <c r="F179" s="56"/>
      <c r="G179" s="56"/>
      <c r="H179" s="56"/>
      <c r="I179" s="56"/>
      <c r="J179" s="56"/>
    </row>
    <row r="180" spans="1:10" ht="29.25" customHeight="1" x14ac:dyDescent="0.25">
      <c r="A180" s="81"/>
      <c r="B180" s="81"/>
      <c r="C180" s="114" t="s">
        <v>11</v>
      </c>
      <c r="D180" s="9" t="s">
        <v>168</v>
      </c>
      <c r="E180" s="58">
        <v>476.88900000000001</v>
      </c>
      <c r="F180" s="58">
        <v>471</v>
      </c>
      <c r="G180" s="58">
        <v>450.38299999999998</v>
      </c>
      <c r="H180" s="58">
        <v>470</v>
      </c>
      <c r="I180" s="58">
        <v>475</v>
      </c>
      <c r="J180" s="58">
        <v>475</v>
      </c>
    </row>
    <row r="181" spans="1:10" x14ac:dyDescent="0.25">
      <c r="A181" s="81"/>
      <c r="B181" s="81"/>
      <c r="C181" s="116"/>
      <c r="D181" s="9" t="s">
        <v>169</v>
      </c>
      <c r="E181" s="59">
        <v>138.233</v>
      </c>
      <c r="F181" s="59">
        <v>142</v>
      </c>
      <c r="G181" s="59">
        <v>140.92500000000001</v>
      </c>
      <c r="H181" s="59">
        <v>142</v>
      </c>
      <c r="I181" s="59">
        <v>143</v>
      </c>
      <c r="J181" s="59">
        <v>143</v>
      </c>
    </row>
    <row r="182" spans="1:10" ht="21" customHeight="1" x14ac:dyDescent="0.25">
      <c r="A182" s="81"/>
      <c r="B182" s="81"/>
      <c r="C182" s="116"/>
      <c r="D182" s="9" t="s">
        <v>170</v>
      </c>
      <c r="E182" s="59">
        <v>28.698</v>
      </c>
      <c r="F182" s="59">
        <v>27</v>
      </c>
      <c r="G182" s="59">
        <v>50.265999999999998</v>
      </c>
      <c r="H182" s="59">
        <v>55</v>
      </c>
      <c r="I182" s="59">
        <v>27</v>
      </c>
      <c r="J182" s="59">
        <v>27</v>
      </c>
    </row>
    <row r="183" spans="1:10" ht="22.5" customHeight="1" x14ac:dyDescent="0.25">
      <c r="A183" s="81"/>
      <c r="B183" s="81"/>
      <c r="C183" s="116"/>
      <c r="D183" s="9" t="s">
        <v>171</v>
      </c>
      <c r="E183" s="59">
        <v>0.77</v>
      </c>
      <c r="F183" s="59">
        <v>11</v>
      </c>
      <c r="G183" s="59">
        <v>1.25</v>
      </c>
      <c r="H183" s="59">
        <v>5</v>
      </c>
      <c r="I183" s="59">
        <v>12</v>
      </c>
      <c r="J183" s="59">
        <v>12</v>
      </c>
    </row>
    <row r="184" spans="1:10" ht="21.75" customHeight="1" x14ac:dyDescent="0.25">
      <c r="A184" s="81"/>
      <c r="B184" s="81"/>
      <c r="C184" s="116"/>
      <c r="D184" s="9" t="s">
        <v>172</v>
      </c>
      <c r="E184" s="59">
        <v>5.9770000000000003</v>
      </c>
      <c r="F184" s="59">
        <v>41</v>
      </c>
      <c r="G184" s="59">
        <v>103.904</v>
      </c>
      <c r="H184" s="59">
        <v>71</v>
      </c>
      <c r="I184" s="59">
        <v>42</v>
      </c>
      <c r="J184" s="59">
        <v>42</v>
      </c>
    </row>
    <row r="185" spans="1:10" ht="21.75" customHeight="1" x14ac:dyDescent="0.25">
      <c r="A185" s="81"/>
      <c r="B185" s="81"/>
      <c r="C185" s="116"/>
      <c r="D185" s="9" t="s">
        <v>173</v>
      </c>
      <c r="E185" s="59">
        <v>57.15</v>
      </c>
      <c r="F185" s="59">
        <v>40</v>
      </c>
      <c r="G185" s="59"/>
      <c r="H185" s="59"/>
      <c r="I185" s="59">
        <v>40</v>
      </c>
      <c r="J185" s="59">
        <v>40</v>
      </c>
    </row>
    <row r="186" spans="1:10" ht="21.75" customHeight="1" x14ac:dyDescent="0.25">
      <c r="A186" s="82"/>
      <c r="B186" s="82"/>
      <c r="C186" s="117"/>
      <c r="D186" s="9" t="s">
        <v>174</v>
      </c>
      <c r="E186" s="59">
        <v>89.281999999999996</v>
      </c>
      <c r="F186" s="59">
        <v>65</v>
      </c>
      <c r="G186" s="59">
        <v>39.271999999999998</v>
      </c>
      <c r="H186" s="59">
        <v>30</v>
      </c>
      <c r="I186" s="59">
        <v>83</v>
      </c>
      <c r="J186" s="59">
        <v>83</v>
      </c>
    </row>
    <row r="187" spans="1:10" ht="30" customHeight="1" x14ac:dyDescent="0.25">
      <c r="A187" s="87" t="s">
        <v>38</v>
      </c>
      <c r="B187" s="89" t="s">
        <v>37</v>
      </c>
      <c r="C187" s="6" t="s">
        <v>9</v>
      </c>
      <c r="D187" s="14"/>
      <c r="E187" s="52">
        <f>E189</f>
        <v>3645.5439999999999</v>
      </c>
      <c r="F187" s="52">
        <f t="shared" ref="F187:J187" si="32">F189</f>
        <v>3782.4216200000001</v>
      </c>
      <c r="G187" s="52">
        <f t="shared" si="32"/>
        <v>5069.9279999999999</v>
      </c>
      <c r="H187" s="52">
        <f t="shared" si="32"/>
        <v>5171</v>
      </c>
      <c r="I187" s="52">
        <f t="shared" si="32"/>
        <v>4251</v>
      </c>
      <c r="J187" s="52">
        <f t="shared" si="32"/>
        <v>4251</v>
      </c>
    </row>
    <row r="188" spans="1:10" x14ac:dyDescent="0.25">
      <c r="A188" s="88"/>
      <c r="B188" s="88"/>
      <c r="C188" s="6" t="s">
        <v>10</v>
      </c>
      <c r="D188" s="6"/>
      <c r="E188" s="56"/>
      <c r="F188" s="56"/>
      <c r="G188" s="56"/>
      <c r="H188" s="57"/>
      <c r="I188" s="57"/>
      <c r="J188" s="57"/>
    </row>
    <row r="189" spans="1:10" ht="49.5" customHeight="1" x14ac:dyDescent="0.25">
      <c r="A189" s="88"/>
      <c r="B189" s="88"/>
      <c r="C189" s="6" t="s">
        <v>11</v>
      </c>
      <c r="D189" s="9" t="s">
        <v>175</v>
      </c>
      <c r="E189" s="60">
        <v>3645.5439999999999</v>
      </c>
      <c r="F189" s="58">
        <v>3782.4216200000001</v>
      </c>
      <c r="G189" s="58">
        <v>5069.9279999999999</v>
      </c>
      <c r="H189" s="58">
        <v>5171</v>
      </c>
      <c r="I189" s="58">
        <v>4251</v>
      </c>
      <c r="J189" s="58">
        <v>4251</v>
      </c>
    </row>
    <row r="190" spans="1:10" x14ac:dyDescent="0.25">
      <c r="A190" s="87" t="s">
        <v>39</v>
      </c>
      <c r="B190" s="89" t="s">
        <v>41</v>
      </c>
      <c r="C190" s="6" t="s">
        <v>9</v>
      </c>
      <c r="D190" s="14"/>
      <c r="E190" s="52">
        <f t="shared" ref="E190:J190" si="33">E192</f>
        <v>3462.4810000000002</v>
      </c>
      <c r="F190" s="52">
        <f t="shared" si="33"/>
        <v>3646.652</v>
      </c>
      <c r="G190" s="52">
        <f t="shared" si="33"/>
        <v>3582.0410000000002</v>
      </c>
      <c r="H190" s="52">
        <f t="shared" si="33"/>
        <v>3396</v>
      </c>
      <c r="I190" s="52">
        <f t="shared" si="33"/>
        <v>4000</v>
      </c>
      <c r="J190" s="52">
        <f t="shared" si="33"/>
        <v>4000</v>
      </c>
    </row>
    <row r="191" spans="1:10" x14ac:dyDescent="0.25">
      <c r="A191" s="88"/>
      <c r="B191" s="88"/>
      <c r="C191" s="6" t="s">
        <v>10</v>
      </c>
      <c r="D191" s="6"/>
      <c r="E191" s="56"/>
      <c r="F191" s="56"/>
      <c r="G191" s="56"/>
      <c r="H191" s="57"/>
      <c r="I191" s="57"/>
      <c r="J191" s="57"/>
    </row>
    <row r="192" spans="1:10" ht="45" x14ac:dyDescent="0.25">
      <c r="A192" s="88"/>
      <c r="B192" s="88"/>
      <c r="C192" s="6" t="s">
        <v>11</v>
      </c>
      <c r="D192" s="9" t="s">
        <v>176</v>
      </c>
      <c r="E192" s="58">
        <v>3462.4810000000002</v>
      </c>
      <c r="F192" s="58">
        <v>3646.652</v>
      </c>
      <c r="G192" s="58">
        <v>3582.0410000000002</v>
      </c>
      <c r="H192" s="58">
        <v>3396</v>
      </c>
      <c r="I192" s="58">
        <v>4000</v>
      </c>
      <c r="J192" s="58">
        <v>4000</v>
      </c>
    </row>
    <row r="193" spans="1:10" x14ac:dyDescent="0.25">
      <c r="A193" s="87" t="s">
        <v>40</v>
      </c>
      <c r="B193" s="89" t="s">
        <v>42</v>
      </c>
      <c r="C193" s="6" t="s">
        <v>9</v>
      </c>
      <c r="D193" s="14"/>
      <c r="E193" s="52">
        <f t="shared" ref="E193:J193" si="34">E195</f>
        <v>161.63200000000001</v>
      </c>
      <c r="F193" s="52">
        <f t="shared" si="34"/>
        <v>260.20459</v>
      </c>
      <c r="G193" s="52">
        <f t="shared" si="34"/>
        <v>855.346</v>
      </c>
      <c r="H193" s="52">
        <f>H195</f>
        <v>454.2</v>
      </c>
      <c r="I193" s="52">
        <f t="shared" si="34"/>
        <v>339.3</v>
      </c>
      <c r="J193" s="52">
        <f t="shared" si="34"/>
        <v>339.3</v>
      </c>
    </row>
    <row r="194" spans="1:10" x14ac:dyDescent="0.25">
      <c r="A194" s="88"/>
      <c r="B194" s="88"/>
      <c r="C194" s="6" t="s">
        <v>10</v>
      </c>
      <c r="D194" s="6"/>
      <c r="E194" s="56"/>
      <c r="F194" s="56"/>
      <c r="G194" s="56"/>
      <c r="H194" s="57"/>
      <c r="I194" s="57"/>
      <c r="J194" s="57"/>
    </row>
    <row r="195" spans="1:10" ht="45" x14ac:dyDescent="0.25">
      <c r="A195" s="88"/>
      <c r="B195" s="88"/>
      <c r="C195" s="6" t="s">
        <v>11</v>
      </c>
      <c r="D195" s="9" t="s">
        <v>177</v>
      </c>
      <c r="E195" s="58">
        <v>161.63200000000001</v>
      </c>
      <c r="F195" s="58">
        <v>260.20459</v>
      </c>
      <c r="G195" s="58">
        <v>855.346</v>
      </c>
      <c r="H195" s="58">
        <v>454.2</v>
      </c>
      <c r="I195" s="58">
        <v>339.3</v>
      </c>
      <c r="J195" s="58">
        <v>339.3</v>
      </c>
    </row>
    <row r="196" spans="1:10" x14ac:dyDescent="0.25">
      <c r="A196" s="87" t="s">
        <v>43</v>
      </c>
      <c r="B196" s="89" t="s">
        <v>46</v>
      </c>
      <c r="C196" s="6" t="s">
        <v>9</v>
      </c>
      <c r="D196" s="14"/>
      <c r="E196" s="52">
        <f t="shared" ref="E196:J196" si="35">E198</f>
        <v>16.399999999999999</v>
      </c>
      <c r="F196" s="52">
        <f t="shared" si="35"/>
        <v>26.123999999999999</v>
      </c>
      <c r="G196" s="52">
        <f t="shared" si="35"/>
        <v>35.448</v>
      </c>
      <c r="H196" s="52">
        <f t="shared" si="35"/>
        <v>8.9</v>
      </c>
      <c r="I196" s="52">
        <f t="shared" si="35"/>
        <v>38.5</v>
      </c>
      <c r="J196" s="52">
        <f t="shared" si="35"/>
        <v>38.5</v>
      </c>
    </row>
    <row r="197" spans="1:10" x14ac:dyDescent="0.25">
      <c r="A197" s="88"/>
      <c r="B197" s="88"/>
      <c r="C197" s="6" t="s">
        <v>10</v>
      </c>
      <c r="D197" s="6"/>
      <c r="E197" s="56"/>
      <c r="F197" s="56"/>
      <c r="G197" s="56"/>
      <c r="H197" s="57"/>
      <c r="I197" s="57"/>
      <c r="J197" s="57"/>
    </row>
    <row r="198" spans="1:10" ht="45" x14ac:dyDescent="0.25">
      <c r="A198" s="88"/>
      <c r="B198" s="88"/>
      <c r="C198" s="6" t="s">
        <v>11</v>
      </c>
      <c r="D198" s="9" t="s">
        <v>178</v>
      </c>
      <c r="E198" s="58">
        <v>16.399999999999999</v>
      </c>
      <c r="F198" s="58">
        <v>26.123999999999999</v>
      </c>
      <c r="G198" s="58">
        <v>35.448</v>
      </c>
      <c r="H198" s="58">
        <v>8.9</v>
      </c>
      <c r="I198" s="58">
        <v>38.5</v>
      </c>
      <c r="J198" s="58">
        <v>38.5</v>
      </c>
    </row>
    <row r="199" spans="1:10" x14ac:dyDescent="0.25">
      <c r="A199" s="87" t="s">
        <v>44</v>
      </c>
      <c r="B199" s="89" t="s">
        <v>47</v>
      </c>
      <c r="C199" s="6" t="s">
        <v>9</v>
      </c>
      <c r="D199" s="14"/>
      <c r="E199" s="52">
        <f t="shared" ref="E199:F199" si="36">E201</f>
        <v>825</v>
      </c>
      <c r="F199" s="52">
        <f t="shared" si="36"/>
        <v>996.97500000000002</v>
      </c>
      <c r="G199" s="52">
        <f>G201</f>
        <v>996.97500000000002</v>
      </c>
      <c r="H199" s="52">
        <f t="shared" ref="H199:J199" si="37">H201</f>
        <v>110.8</v>
      </c>
      <c r="I199" s="52">
        <f t="shared" si="37"/>
        <v>603.29999999999995</v>
      </c>
      <c r="J199" s="52">
        <f t="shared" si="37"/>
        <v>603.29999999999995</v>
      </c>
    </row>
    <row r="200" spans="1:10" x14ac:dyDescent="0.25">
      <c r="A200" s="88"/>
      <c r="B200" s="88"/>
      <c r="C200" s="6" t="s">
        <v>10</v>
      </c>
      <c r="D200" s="6"/>
      <c r="E200" s="56"/>
      <c r="F200" s="56"/>
      <c r="G200" s="56"/>
      <c r="H200" s="57"/>
      <c r="I200" s="57"/>
      <c r="J200" s="57"/>
    </row>
    <row r="201" spans="1:10" ht="45" x14ac:dyDescent="0.25">
      <c r="A201" s="88"/>
      <c r="B201" s="88"/>
      <c r="C201" s="6" t="s">
        <v>11</v>
      </c>
      <c r="D201" s="9" t="s">
        <v>179</v>
      </c>
      <c r="E201" s="58">
        <v>825</v>
      </c>
      <c r="F201" s="58">
        <v>996.97500000000002</v>
      </c>
      <c r="G201" s="58">
        <v>996.97500000000002</v>
      </c>
      <c r="H201" s="58">
        <v>110.8</v>
      </c>
      <c r="I201" s="58">
        <v>603.29999999999995</v>
      </c>
      <c r="J201" s="58">
        <v>603.29999999999995</v>
      </c>
    </row>
    <row r="202" spans="1:10" x14ac:dyDescent="0.25">
      <c r="A202" s="87" t="s">
        <v>45</v>
      </c>
      <c r="B202" s="89" t="s">
        <v>37</v>
      </c>
      <c r="C202" s="6" t="s">
        <v>9</v>
      </c>
      <c r="D202" s="14"/>
      <c r="E202" s="52">
        <f t="shared" ref="E202:J202" si="38">E204</f>
        <v>4539.5249999999996</v>
      </c>
      <c r="F202" s="52">
        <f t="shared" si="38"/>
        <v>5289.402</v>
      </c>
      <c r="G202" s="52">
        <f t="shared" si="38"/>
        <v>3487.154</v>
      </c>
      <c r="H202" s="52">
        <f t="shared" si="38"/>
        <v>3182</v>
      </c>
      <c r="I202" s="52">
        <f t="shared" si="38"/>
        <v>5295</v>
      </c>
      <c r="J202" s="52">
        <f t="shared" si="38"/>
        <v>5295</v>
      </c>
    </row>
    <row r="203" spans="1:10" x14ac:dyDescent="0.25">
      <c r="A203" s="88"/>
      <c r="B203" s="88"/>
      <c r="C203" s="6" t="s">
        <v>10</v>
      </c>
      <c r="D203" s="6"/>
      <c r="E203" s="56"/>
      <c r="F203" s="56"/>
      <c r="G203" s="56"/>
      <c r="H203" s="57"/>
      <c r="I203" s="57"/>
      <c r="J203" s="57"/>
    </row>
    <row r="204" spans="1:10" ht="45" x14ac:dyDescent="0.25">
      <c r="A204" s="88"/>
      <c r="B204" s="88"/>
      <c r="C204" s="6" t="s">
        <v>11</v>
      </c>
      <c r="D204" s="9" t="s">
        <v>180</v>
      </c>
      <c r="E204" s="58">
        <v>4539.5249999999996</v>
      </c>
      <c r="F204" s="58">
        <v>5289.402</v>
      </c>
      <c r="G204" s="58">
        <v>3487.154</v>
      </c>
      <c r="H204" s="58">
        <v>3182</v>
      </c>
      <c r="I204" s="58">
        <v>5295</v>
      </c>
      <c r="J204" s="58">
        <v>5295</v>
      </c>
    </row>
    <row r="205" spans="1:10" x14ac:dyDescent="0.25">
      <c r="A205" s="79" t="s">
        <v>62</v>
      </c>
      <c r="B205" s="83" t="s">
        <v>23</v>
      </c>
      <c r="C205" s="14" t="s">
        <v>9</v>
      </c>
      <c r="D205" s="16" t="s">
        <v>48</v>
      </c>
      <c r="E205" s="52">
        <f>E207</f>
        <v>272.10000000000002</v>
      </c>
      <c r="F205" s="52">
        <f t="shared" ref="F205:J205" si="39">F207</f>
        <v>416</v>
      </c>
      <c r="G205" s="52">
        <f t="shared" si="39"/>
        <v>172.124</v>
      </c>
      <c r="H205" s="52">
        <f t="shared" si="39"/>
        <v>85</v>
      </c>
      <c r="I205" s="52">
        <f t="shared" si="39"/>
        <v>516</v>
      </c>
      <c r="J205" s="52">
        <f t="shared" si="39"/>
        <v>516</v>
      </c>
    </row>
    <row r="206" spans="1:10" x14ac:dyDescent="0.25">
      <c r="A206" s="81"/>
      <c r="B206" s="85"/>
      <c r="C206" s="7" t="s">
        <v>10</v>
      </c>
      <c r="D206" s="29"/>
      <c r="E206" s="37"/>
      <c r="F206" s="37"/>
      <c r="G206" s="37"/>
      <c r="H206" s="57"/>
      <c r="I206" s="57"/>
      <c r="J206" s="57"/>
    </row>
    <row r="207" spans="1:10" ht="45" x14ac:dyDescent="0.25">
      <c r="A207" s="82"/>
      <c r="B207" s="86"/>
      <c r="C207" s="7" t="s">
        <v>11</v>
      </c>
      <c r="D207" s="9" t="s">
        <v>181</v>
      </c>
      <c r="E207" s="37">
        <v>272.10000000000002</v>
      </c>
      <c r="F207" s="37">
        <v>416</v>
      </c>
      <c r="G207" s="37">
        <v>172.124</v>
      </c>
      <c r="H207" s="37">
        <v>85</v>
      </c>
      <c r="I207" s="37">
        <v>516</v>
      </c>
      <c r="J207" s="37">
        <v>516</v>
      </c>
    </row>
    <row r="208" spans="1:10" ht="15.75" x14ac:dyDescent="0.25">
      <c r="A208" s="61" t="s">
        <v>85</v>
      </c>
      <c r="B208" s="61"/>
      <c r="C208" s="61"/>
      <c r="D208" s="61"/>
      <c r="E208" s="62"/>
      <c r="F208" s="62" t="s">
        <v>91</v>
      </c>
      <c r="G208" s="71"/>
    </row>
    <row r="209" spans="1:10" ht="15.75" x14ac:dyDescent="0.25">
      <c r="A209" s="3"/>
      <c r="F209" s="22"/>
      <c r="G209" s="22"/>
      <c r="H209" s="22"/>
      <c r="I209" s="22"/>
      <c r="J209" s="22"/>
    </row>
    <row r="210" spans="1:10" ht="15.75" x14ac:dyDescent="0.25">
      <c r="A210" s="3"/>
      <c r="D210" s="31"/>
      <c r="E210" s="22"/>
      <c r="F210" s="22"/>
      <c r="G210" s="22"/>
      <c r="H210" s="22"/>
      <c r="I210" s="22"/>
      <c r="J210" s="22"/>
    </row>
    <row r="211" spans="1:10" ht="15.75" x14ac:dyDescent="0.25">
      <c r="A211" s="3"/>
      <c r="E211" s="22"/>
      <c r="F211" s="22"/>
    </row>
    <row r="212" spans="1:10" x14ac:dyDescent="0.25">
      <c r="E212" s="22"/>
    </row>
    <row r="213" spans="1:10" x14ac:dyDescent="0.25">
      <c r="E213" s="22"/>
    </row>
  </sheetData>
  <mergeCells count="62">
    <mergeCell ref="A205:A207"/>
    <mergeCell ref="B205:B207"/>
    <mergeCell ref="A196:A198"/>
    <mergeCell ref="B196:B198"/>
    <mergeCell ref="A199:A201"/>
    <mergeCell ref="B199:B201"/>
    <mergeCell ref="A202:A204"/>
    <mergeCell ref="B202:B204"/>
    <mergeCell ref="A187:A189"/>
    <mergeCell ref="B187:B189"/>
    <mergeCell ref="A190:A192"/>
    <mergeCell ref="B190:B192"/>
    <mergeCell ref="A193:A195"/>
    <mergeCell ref="B193:B195"/>
    <mergeCell ref="A134:A177"/>
    <mergeCell ref="B134:B177"/>
    <mergeCell ref="C136:C177"/>
    <mergeCell ref="A178:A186"/>
    <mergeCell ref="B178:B186"/>
    <mergeCell ref="C180:C186"/>
    <mergeCell ref="A121:A133"/>
    <mergeCell ref="B121:B133"/>
    <mergeCell ref="C123:C133"/>
    <mergeCell ref="A85:A87"/>
    <mergeCell ref="B85:B87"/>
    <mergeCell ref="A88:A103"/>
    <mergeCell ref="B88:B103"/>
    <mergeCell ref="C93:C103"/>
    <mergeCell ref="A104:A107"/>
    <mergeCell ref="B104:B107"/>
    <mergeCell ref="A108:A117"/>
    <mergeCell ref="B108:B117"/>
    <mergeCell ref="C114:C117"/>
    <mergeCell ref="A118:A120"/>
    <mergeCell ref="B118:B120"/>
    <mergeCell ref="A72:A84"/>
    <mergeCell ref="B72:B84"/>
    <mergeCell ref="C76:C84"/>
    <mergeCell ref="C17:C21"/>
    <mergeCell ref="A22:A34"/>
    <mergeCell ref="B22:B34"/>
    <mergeCell ref="C24:C34"/>
    <mergeCell ref="A35:A38"/>
    <mergeCell ref="B35:B38"/>
    <mergeCell ref="A39:A71"/>
    <mergeCell ref="B39:B57"/>
    <mergeCell ref="C43:C57"/>
    <mergeCell ref="B58:B71"/>
    <mergeCell ref="C61:C71"/>
    <mergeCell ref="A9:A11"/>
    <mergeCell ref="B9:B11"/>
    <mergeCell ref="A12:A14"/>
    <mergeCell ref="B12:B14"/>
    <mergeCell ref="A15:A21"/>
    <mergeCell ref="B15:B21"/>
    <mergeCell ref="F1:G1"/>
    <mergeCell ref="A4:G4"/>
    <mergeCell ref="A6:A7"/>
    <mergeCell ref="B6:B7"/>
    <mergeCell ref="C6:C7"/>
    <mergeCell ref="D6:D7"/>
    <mergeCell ref="E6:J6"/>
  </mergeCells>
  <pageMargins left="0.15748031496062992" right="0.15748031496062992" top="0.15748031496062992" bottom="0.16" header="0.15748031496062992" footer="0.16"/>
  <pageSetup paperSize="9" scale="7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таб 2 (2)</vt:lpstr>
      <vt:lpstr>2016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2017-01-23T04:18:24Z</dcterms:modified>
</cp:coreProperties>
</file>